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355" windowHeight="5190"/>
  </bookViews>
  <sheets>
    <sheet name="MyPaceCard-SCY" sheetId="1" r:id="rId1"/>
  </sheets>
  <definedNames>
    <definedName name="_xlnm._FilterDatabase" localSheetId="0" hidden="1">'MyPaceCard-SCY'!$L$1:$M$33</definedName>
    <definedName name="_xlnm._FilterDatabase" hidden="1">#REF!</definedName>
    <definedName name="_xlnm.Criteria" localSheetId="0">'MyPaceCard-SCY'!$E$1:$E$26</definedName>
    <definedName name="_xlnm.Criteria">#REF!</definedName>
    <definedName name="_xlnm.Print_Area" localSheetId="0">'MyPaceCard-SCY'!$A$1:$J$33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L2" i="1" l="1"/>
  <c r="L3" i="1"/>
  <c r="L4" i="1"/>
  <c r="L5" i="1"/>
  <c r="I5" i="1" s="1"/>
  <c r="L6" i="1"/>
  <c r="L7" i="1"/>
  <c r="H7" i="1" s="1"/>
  <c r="L8" i="1"/>
  <c r="G8" i="1" s="1"/>
  <c r="F8" i="1" s="1"/>
  <c r="L9" i="1"/>
  <c r="G9" i="1" s="1"/>
  <c r="F9" i="1" s="1"/>
  <c r="L10" i="1"/>
  <c r="H10" i="1" s="1"/>
  <c r="L11" i="1"/>
  <c r="L12" i="1"/>
  <c r="I12" i="1" s="1"/>
  <c r="J12" i="1" s="1"/>
  <c r="H12" i="1" s="1"/>
  <c r="G12" i="1" s="1"/>
  <c r="F12" i="1" s="1"/>
  <c r="L13" i="1"/>
  <c r="L14" i="1"/>
  <c r="L15" i="1"/>
  <c r="F15" i="1" s="1"/>
  <c r="H15" i="1" s="1"/>
  <c r="L16" i="1"/>
  <c r="F16" i="1" s="1"/>
  <c r="H16" i="1" s="1"/>
  <c r="L17" i="1"/>
  <c r="L18" i="1"/>
  <c r="F18" i="1" s="1"/>
  <c r="H18" i="1" s="1"/>
  <c r="L19" i="1"/>
  <c r="F19" i="1" s="1"/>
  <c r="L20" i="1"/>
  <c r="F20" i="1" s="1"/>
  <c r="L21" i="1"/>
  <c r="L22" i="1"/>
  <c r="L23" i="1"/>
  <c r="G23" i="1" s="1"/>
  <c r="L24" i="1"/>
  <c r="G24" i="1" s="1"/>
  <c r="L25" i="1"/>
  <c r="G25" i="1" s="1"/>
  <c r="L26" i="1"/>
  <c r="G26" i="1" s="1"/>
  <c r="L27" i="1"/>
  <c r="G27" i="1" s="1"/>
  <c r="L28" i="1"/>
  <c r="G28" i="1" s="1"/>
  <c r="L29" i="1"/>
  <c r="L30" i="1"/>
  <c r="L31" i="1"/>
  <c r="L32" i="1"/>
  <c r="L33" i="1"/>
  <c r="F26" i="1" l="1"/>
  <c r="H26" i="1" s="1"/>
  <c r="F28" i="1"/>
  <c r="H28" i="1" s="1"/>
  <c r="F27" i="1"/>
  <c r="H27" i="1" s="1"/>
  <c r="F25" i="1"/>
  <c r="I26" i="1"/>
  <c r="J26" i="1" s="1"/>
  <c r="I24" i="1"/>
  <c r="F24" i="1"/>
  <c r="H24" i="1" s="1"/>
  <c r="F23" i="1"/>
  <c r="I23" i="1"/>
  <c r="J23" i="1" s="1"/>
  <c r="H9" i="1"/>
  <c r="H8" i="1"/>
  <c r="F21" i="1"/>
  <c r="F14" i="1"/>
  <c r="G5" i="1"/>
  <c r="J5" i="1"/>
  <c r="G20" i="1"/>
  <c r="I20" i="1"/>
  <c r="J20" i="1" s="1"/>
  <c r="G19" i="1"/>
  <c r="I19" i="1"/>
  <c r="J19" i="1" s="1"/>
  <c r="G18" i="1"/>
  <c r="F17" i="1"/>
  <c r="H20" i="1"/>
  <c r="H19" i="1"/>
  <c r="I18" i="1"/>
  <c r="J18" i="1" s="1"/>
  <c r="G16" i="1"/>
  <c r="I16" i="1"/>
  <c r="J16" i="1" s="1"/>
  <c r="G15" i="1"/>
  <c r="I15" i="1"/>
  <c r="J15" i="1" s="1"/>
  <c r="I11" i="1"/>
  <c r="J11" i="1" s="1"/>
  <c r="H11" i="1" s="1"/>
  <c r="G11" i="1" s="1"/>
  <c r="F11" i="1" s="1"/>
  <c r="I10" i="1"/>
  <c r="J10" i="1" s="1"/>
  <c r="G10" i="1"/>
  <c r="F10" i="1" s="1"/>
  <c r="I7" i="1"/>
  <c r="J7" i="1" s="1"/>
  <c r="G7" i="1"/>
  <c r="F7" i="1" s="1"/>
  <c r="I6" i="1"/>
  <c r="H3" i="1"/>
  <c r="G3" i="1" s="1"/>
  <c r="H2" i="1"/>
  <c r="G2" i="1" s="1"/>
  <c r="I9" i="1"/>
  <c r="J9" i="1" s="1"/>
  <c r="I8" i="1"/>
  <c r="J8" i="1" s="1"/>
  <c r="I28" i="1" l="1"/>
  <c r="J28" i="1" s="1"/>
  <c r="I27" i="1"/>
  <c r="J27" i="1" s="1"/>
  <c r="H25" i="1"/>
  <c r="I25" i="1"/>
  <c r="J25" i="1" s="1"/>
  <c r="J24" i="1"/>
  <c r="H23" i="1"/>
  <c r="I3" i="1"/>
  <c r="F3" i="1"/>
  <c r="F2" i="1"/>
  <c r="I2" i="1"/>
  <c r="H17" i="1"/>
  <c r="I17" i="1"/>
  <c r="J17" i="1" s="1"/>
  <c r="G17" i="1"/>
  <c r="H14" i="1"/>
  <c r="G14" i="1"/>
  <c r="I14" i="1"/>
  <c r="J14" i="1" s="1"/>
  <c r="H21" i="1"/>
  <c r="G21" i="1"/>
  <c r="I21" i="1"/>
  <c r="J21" i="1" s="1"/>
  <c r="J6" i="1"/>
  <c r="G6" i="1"/>
  <c r="F5" i="1"/>
  <c r="H5" i="1"/>
  <c r="F6" i="1" l="1"/>
  <c r="H6" i="1"/>
</calcChain>
</file>

<file path=xl/sharedStrings.xml><?xml version="1.0" encoding="utf-8"?>
<sst xmlns="http://schemas.openxmlformats.org/spreadsheetml/2006/main" count="66" uniqueCount="26">
  <si>
    <t>GOAL</t>
  </si>
  <si>
    <t>BEST</t>
  </si>
  <si>
    <t>IM</t>
  </si>
  <si>
    <t>Pace FR</t>
  </si>
  <si>
    <t>Pace BR</t>
  </si>
  <si>
    <t>Pace BK</t>
  </si>
  <si>
    <t>Pace FLY</t>
  </si>
  <si>
    <t>Start FLY</t>
  </si>
  <si>
    <t>MILE</t>
  </si>
  <si>
    <t>Start 100</t>
  </si>
  <si>
    <t>Start 50</t>
  </si>
  <si>
    <t>Pace 150</t>
  </si>
  <si>
    <t>Pace 100</t>
  </si>
  <si>
    <t>Pace 50</t>
  </si>
  <si>
    <t>BR</t>
  </si>
  <si>
    <t>FLY</t>
  </si>
  <si>
    <t>BK</t>
  </si>
  <si>
    <t>FR</t>
  </si>
  <si>
    <t>Pace 75</t>
  </si>
  <si>
    <t>Pace 25</t>
  </si>
  <si>
    <t>Start 25</t>
  </si>
  <si>
    <t>Start 15</t>
  </si>
  <si>
    <t>Turn 10</t>
  </si>
  <si>
    <t>SWIMMERS NAME HERE</t>
  </si>
  <si>
    <t>SCY PACE CARD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</si>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</sst>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&quot;.&quot;##"/>
    <numFmt numFmtId="165" formatCode="0.0"/>
    <numFmt numFmtId="166" formatCode="#&quot;:&quot;##&quot;.&quot;00"/>
    <numFmt numFmtId="167" formatCode="#,##0.0"/>
    <numFmt numFmtId="168" formatCode="#&quot;:&quot;##&quot;.&quot;#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7" fillId="0" borderId="0">
      <alignment vertical="top"/>
    </xf>
    <xf numFmtId="0" fontId="7" fillId="0" borderId="0">
      <alignment vertical="top"/>
    </xf>
  </cellStyleXfs>
  <cellXfs count="89">
    <xf numFmtId="0" fontId="0" fillId="0" borderId="0" xfId="0"/>
    <xf numFmtId="16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2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166" fontId="2" fillId="5" borderId="21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 applyProtection="1">
      <alignment textRotation="90"/>
      <protection locked="0"/>
    </xf>
    <xf numFmtId="166" fontId="2" fillId="4" borderId="7" xfId="0" applyNumberFormat="1" applyFont="1" applyFill="1" applyBorder="1" applyAlignment="1" applyProtection="1">
      <alignment horizontal="center" vertical="center"/>
      <protection locked="0"/>
    </xf>
    <xf numFmtId="166" fontId="2" fillId="4" borderId="17" xfId="0" applyNumberFormat="1" applyFont="1" applyFill="1" applyBorder="1" applyAlignment="1" applyProtection="1">
      <alignment horizontal="center" vertical="center"/>
      <protection locked="0"/>
    </xf>
    <xf numFmtId="166" fontId="2" fillId="4" borderId="23" xfId="0" applyNumberFormat="1" applyFont="1" applyFill="1" applyBorder="1" applyAlignment="1" applyProtection="1">
      <alignment horizontal="center" vertical="center"/>
      <protection locked="0"/>
    </xf>
    <xf numFmtId="166" fontId="2" fillId="4" borderId="32" xfId="0" applyNumberFormat="1" applyFont="1" applyFill="1" applyBorder="1" applyAlignment="1" applyProtection="1">
      <alignment horizontal="center" vertical="center"/>
      <protection locked="0"/>
    </xf>
    <xf numFmtId="166" fontId="2" fillId="4" borderId="12" xfId="0" applyNumberFormat="1" applyFont="1" applyFill="1" applyBorder="1" applyAlignment="1" applyProtection="1">
      <alignment horizontal="center" vertical="center"/>
      <protection locked="0"/>
    </xf>
    <xf numFmtId="166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9" fillId="5" borderId="36" xfId="0" applyNumberFormat="1" applyFont="1" applyFill="1" applyBorder="1" applyAlignment="1" applyProtection="1">
      <alignment horizontal="center" vertical="center"/>
      <protection hidden="1"/>
    </xf>
    <xf numFmtId="165" fontId="9" fillId="5" borderId="35" xfId="0" applyNumberFormat="1" applyFont="1" applyFill="1" applyBorder="1" applyAlignment="1" applyProtection="1">
      <alignment horizontal="center" vertical="center"/>
      <protection hidden="1"/>
    </xf>
    <xf numFmtId="165" fontId="9" fillId="5" borderId="3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0" fillId="2" borderId="0" xfId="0" applyNumberFormat="1" applyFill="1" applyProtection="1"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31" xfId="0" applyNumberFormat="1" applyBorder="1" applyAlignment="1" applyProtection="1">
      <alignment horizontal="center"/>
      <protection hidden="1"/>
    </xf>
    <xf numFmtId="2" fontId="0" fillId="2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165" fontId="0" fillId="3" borderId="12" xfId="0" applyNumberFormat="1" applyFill="1" applyBorder="1" applyAlignment="1" applyProtection="1">
      <alignment horizontal="center"/>
      <protection hidden="1"/>
    </xf>
    <xf numFmtId="165" fontId="0" fillId="3" borderId="11" xfId="0" applyNumberFormat="1" applyFill="1" applyBorder="1" applyAlignment="1" applyProtection="1">
      <alignment horizontal="center"/>
      <protection hidden="1"/>
    </xf>
    <xf numFmtId="165" fontId="9" fillId="5" borderId="21" xfId="0" applyNumberFormat="1" applyFont="1" applyFill="1" applyBorder="1" applyAlignment="1" applyProtection="1">
      <alignment horizontal="center" vertical="center"/>
      <protection hidden="1"/>
    </xf>
    <xf numFmtId="165" fontId="9" fillId="5" borderId="20" xfId="0" applyNumberFormat="1" applyFont="1" applyFill="1" applyBorder="1" applyAlignment="1" applyProtection="1">
      <alignment horizontal="center" vertic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165" fontId="0" fillId="3" borderId="17" xfId="0" applyNumberFormat="1" applyFill="1" applyBorder="1" applyAlignment="1" applyProtection="1">
      <alignment horizontal="center"/>
      <protection hidden="1"/>
    </xf>
    <xf numFmtId="165" fontId="0" fillId="3" borderId="16" xfId="0" applyNumberFormat="1" applyFill="1" applyBorder="1" applyAlignment="1" applyProtection="1">
      <alignment horizontal="center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165" fontId="0" fillId="0" borderId="6" xfId="0" applyNumberFormat="1" applyBorder="1" applyAlignment="1" applyProtection="1">
      <alignment horizontal="center"/>
      <protection hidden="1"/>
    </xf>
    <xf numFmtId="165" fontId="0" fillId="3" borderId="2" xfId="0" applyNumberFormat="1" applyFill="1" applyBorder="1" applyAlignment="1" applyProtection="1">
      <alignment horizontal="center"/>
      <protection hidden="1"/>
    </xf>
    <xf numFmtId="165" fontId="0" fillId="3" borderId="1" xfId="0" applyNumberFormat="1" applyFill="1" applyBorder="1" applyAlignment="1" applyProtection="1">
      <alignment horizontal="center"/>
      <protection hidden="1"/>
    </xf>
    <xf numFmtId="165" fontId="9" fillId="5" borderId="28" xfId="0" applyNumberFormat="1" applyFont="1" applyFill="1" applyBorder="1" applyAlignment="1" applyProtection="1">
      <alignment horizontal="center" vertical="center"/>
      <protection hidden="1"/>
    </xf>
    <xf numFmtId="165" fontId="9" fillId="5" borderId="27" xfId="0" applyNumberFormat="1" applyFont="1" applyFill="1" applyBorder="1" applyAlignment="1" applyProtection="1">
      <alignment horizontal="center" vertical="center"/>
      <protection hidden="1"/>
    </xf>
    <xf numFmtId="165" fontId="0" fillId="0" borderId="23" xfId="0" applyNumberFormat="1" applyBorder="1" applyAlignment="1" applyProtection="1">
      <alignment horizontal="center"/>
      <protection hidden="1"/>
    </xf>
    <xf numFmtId="165" fontId="0" fillId="0" borderId="25" xfId="0" applyNumberFormat="1" applyBorder="1" applyAlignment="1" applyProtection="1">
      <alignment horizontal="center"/>
      <protection hidden="1"/>
    </xf>
    <xf numFmtId="167" fontId="9" fillId="5" borderId="21" xfId="0" applyNumberFormat="1" applyFont="1" applyFill="1" applyBorder="1" applyAlignment="1" applyProtection="1">
      <alignment horizontal="center" vertical="center"/>
      <protection hidden="1"/>
    </xf>
    <xf numFmtId="167" fontId="9" fillId="5" borderId="20" xfId="0" applyNumberFormat="1" applyFont="1" applyFill="1" applyBorder="1" applyAlignment="1" applyProtection="1">
      <alignment horizontal="center" vertical="center"/>
      <protection hidden="1"/>
    </xf>
    <xf numFmtId="165" fontId="9" fillId="5" borderId="0" xfId="0" applyNumberFormat="1" applyFont="1" applyFill="1" applyBorder="1" applyAlignment="1" applyProtection="1">
      <alignment horizontal="center" vertical="center"/>
      <protection hidden="1"/>
    </xf>
    <xf numFmtId="165" fontId="9" fillId="5" borderId="14" xfId="0" applyNumberFormat="1" applyFont="1" applyFill="1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164" fontId="0" fillId="3" borderId="12" xfId="0" applyNumberFormat="1" applyFill="1" applyBorder="1" applyAlignment="1" applyProtection="1">
      <alignment horizontal="center"/>
      <protection hidden="1"/>
    </xf>
    <xf numFmtId="164" fontId="0" fillId="3" borderId="11" xfId="0" applyNumberFormat="1" applyFill="1" applyBorder="1" applyAlignment="1" applyProtection="1">
      <alignment horizontal="center"/>
      <protection hidden="1"/>
    </xf>
    <xf numFmtId="164" fontId="0" fillId="3" borderId="2" xfId="0" applyNumberFormat="1" applyFill="1" applyBorder="1" applyAlignment="1" applyProtection="1">
      <alignment horizontal="center"/>
      <protection hidden="1"/>
    </xf>
    <xf numFmtId="164" fontId="0" fillId="3" borderId="1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0" fillId="0" borderId="7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8" fontId="0" fillId="3" borderId="17" xfId="0" applyNumberFormat="1" applyFill="1" applyBorder="1" applyAlignment="1">
      <alignment horizontal="center"/>
    </xf>
    <xf numFmtId="168" fontId="0" fillId="3" borderId="16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7" fontId="0" fillId="3" borderId="17" xfId="0" applyNumberForma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textRotation="90" shrinkToFit="1"/>
      <protection locked="0"/>
    </xf>
    <xf numFmtId="0" fontId="3" fillId="0" borderId="10" xfId="0" applyFont="1" applyBorder="1" applyAlignment="1" applyProtection="1">
      <alignment horizontal="center" vertical="center" textRotation="90" shrinkToFit="1"/>
      <protection locked="0"/>
    </xf>
    <xf numFmtId="0" fontId="3" fillId="0" borderId="5" xfId="0" applyFont="1" applyBorder="1" applyAlignment="1" applyProtection="1">
      <alignment horizontal="center" vertical="center" textRotation="90" shrinkToFit="1"/>
      <protection locked="0"/>
    </xf>
    <xf numFmtId="0" fontId="6" fillId="0" borderId="26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L10" sqref="L1:L1048576"/>
    </sheetView>
  </sheetViews>
  <sheetFormatPr defaultRowHeight="15" x14ac:dyDescent="0.25"/>
  <cols>
    <col min="1" max="1" width="7.140625" style="20" customWidth="1"/>
    <col min="2" max="2" width="5.28515625" style="3" customWidth="1"/>
    <col min="3" max="3" width="9.28515625" style="3" customWidth="1"/>
    <col min="4" max="4" width="7.28515625" style="2" customWidth="1"/>
    <col min="5" max="5" width="9.28515625" style="1" customWidth="1"/>
    <col min="6" max="10" width="8.140625" style="61" customWidth="1"/>
    <col min="11" max="11" width="9.140625" style="30" customWidth="1"/>
    <col min="12" max="12" width="9.140625" style="31" hidden="1" customWidth="1"/>
    <col min="13" max="13" width="9.140625" style="30" customWidth="1"/>
  </cols>
  <sheetData>
    <row r="1" spans="1:13" ht="12.95" customHeight="1" thickTop="1" thickBot="1" x14ac:dyDescent="0.3">
      <c r="A1" s="81" t="s">
        <v>23</v>
      </c>
      <c r="B1" s="78" t="s">
        <v>24</v>
      </c>
      <c r="C1" s="79"/>
      <c r="D1" s="79"/>
      <c r="E1" s="80"/>
      <c r="F1" s="27" t="s">
        <v>21</v>
      </c>
      <c r="G1" s="28" t="s">
        <v>20</v>
      </c>
      <c r="H1" s="28" t="s">
        <v>19</v>
      </c>
      <c r="I1" s="28" t="s">
        <v>22</v>
      </c>
      <c r="J1" s="29"/>
    </row>
    <row r="2" spans="1:13" ht="12.95" customHeight="1" x14ac:dyDescent="0.25">
      <c r="A2" s="82"/>
      <c r="B2" s="84">
        <v>50</v>
      </c>
      <c r="C2" s="71" t="s">
        <v>17</v>
      </c>
      <c r="D2" s="19" t="s">
        <v>1</v>
      </c>
      <c r="E2" s="24"/>
      <c r="F2" s="32">
        <f>0.65616*G2-0.1</f>
        <v>-0.1</v>
      </c>
      <c r="G2" s="32">
        <f>L2-H2</f>
        <v>0</v>
      </c>
      <c r="H2" s="32">
        <f>(L2*1.03535)/2</f>
        <v>0</v>
      </c>
      <c r="I2" s="32">
        <f>0.2*G2+0.2*H2</f>
        <v>0</v>
      </c>
      <c r="J2" s="33"/>
      <c r="L2" s="34">
        <f t="shared" ref="L2:L33" si="0">INT(E2/10000)*60+(E2-INT(E2/10000)*10000)/100</f>
        <v>0</v>
      </c>
      <c r="M2" s="35"/>
    </row>
    <row r="3" spans="1:13" ht="12.95" customHeight="1" thickBot="1" x14ac:dyDescent="0.3">
      <c r="A3" s="82"/>
      <c r="B3" s="85"/>
      <c r="C3" s="77"/>
      <c r="D3" s="18" t="s">
        <v>0</v>
      </c>
      <c r="E3" s="25"/>
      <c r="F3" s="36">
        <f>0.65616*G3-0.1</f>
        <v>-0.1</v>
      </c>
      <c r="G3" s="36">
        <f>L3-H3</f>
        <v>0</v>
      </c>
      <c r="H3" s="36">
        <f>(L3*1.03535)/2</f>
        <v>0</v>
      </c>
      <c r="I3" s="36">
        <f>0.2*G3+0.2*H3</f>
        <v>0</v>
      </c>
      <c r="J3" s="37"/>
      <c r="L3" s="34">
        <f t="shared" si="0"/>
        <v>0</v>
      </c>
      <c r="M3" s="35"/>
    </row>
    <row r="4" spans="1:13" ht="12.95" customHeight="1" thickTop="1" thickBot="1" x14ac:dyDescent="0.3">
      <c r="A4" s="82"/>
      <c r="B4" s="17">
        <v>100</v>
      </c>
      <c r="C4" s="16"/>
      <c r="D4" s="13"/>
      <c r="E4" s="12"/>
      <c r="F4" s="38" t="s">
        <v>21</v>
      </c>
      <c r="G4" s="38" t="s">
        <v>20</v>
      </c>
      <c r="H4" s="38" t="s">
        <v>10</v>
      </c>
      <c r="I4" s="38" t="s">
        <v>19</v>
      </c>
      <c r="J4" s="39" t="s">
        <v>13</v>
      </c>
      <c r="L4" s="34">
        <f t="shared" si="0"/>
        <v>0</v>
      </c>
    </row>
    <row r="5" spans="1:13" ht="12.95" customHeight="1" x14ac:dyDescent="0.25">
      <c r="A5" s="82"/>
      <c r="B5" s="75">
        <v>100</v>
      </c>
      <c r="C5" s="71" t="s">
        <v>17</v>
      </c>
      <c r="D5" s="5" t="s">
        <v>1</v>
      </c>
      <c r="E5" s="21"/>
      <c r="F5" s="32">
        <f>0.65616*G5-0.1</f>
        <v>-0.88739200000000007</v>
      </c>
      <c r="G5" s="32">
        <f>I5-1.6</f>
        <v>-1.2000000000000002</v>
      </c>
      <c r="H5" s="32">
        <f>G5+I5</f>
        <v>-0.80000000000000016</v>
      </c>
      <c r="I5" s="32">
        <f>(L5+1.6)/4</f>
        <v>0.4</v>
      </c>
      <c r="J5" s="40">
        <f>2*I5</f>
        <v>0.8</v>
      </c>
      <c r="L5" s="34">
        <f t="shared" si="0"/>
        <v>0</v>
      </c>
      <c r="M5" s="35"/>
    </row>
    <row r="6" spans="1:13" ht="12.95" customHeight="1" thickBot="1" x14ac:dyDescent="0.3">
      <c r="A6" s="82"/>
      <c r="B6" s="75"/>
      <c r="C6" s="77"/>
      <c r="D6" s="11" t="s">
        <v>0</v>
      </c>
      <c r="E6" s="22"/>
      <c r="F6" s="41">
        <f>0.65616*G6-0.1</f>
        <v>-0.88739200000000007</v>
      </c>
      <c r="G6" s="41">
        <f>I6-1.6</f>
        <v>-1.2000000000000002</v>
      </c>
      <c r="H6" s="41">
        <f>G6+I6</f>
        <v>-0.80000000000000016</v>
      </c>
      <c r="I6" s="41">
        <f>(L6+1.6)/4</f>
        <v>0.4</v>
      </c>
      <c r="J6" s="42">
        <f>2*I6</f>
        <v>0.8</v>
      </c>
      <c r="L6" s="34">
        <f t="shared" si="0"/>
        <v>0</v>
      </c>
      <c r="M6" s="35"/>
    </row>
    <row r="7" spans="1:13" ht="12.95" customHeight="1" x14ac:dyDescent="0.25">
      <c r="A7" s="82"/>
      <c r="B7" s="75"/>
      <c r="C7" s="71" t="s">
        <v>16</v>
      </c>
      <c r="D7" s="5" t="s">
        <v>1</v>
      </c>
      <c r="E7" s="21"/>
      <c r="F7" s="43">
        <f>0.65616*G7-0.2</f>
        <v>-0.69212000000000007</v>
      </c>
      <c r="G7" s="43">
        <f>(L7-3)/4</f>
        <v>-0.75</v>
      </c>
      <c r="H7" s="43">
        <f>(L7-1)/2</f>
        <v>-0.5</v>
      </c>
      <c r="I7" s="43">
        <f>(L7+1)/4</f>
        <v>0.25</v>
      </c>
      <c r="J7" s="44">
        <f t="shared" ref="J7:J12" si="1">I7*2</f>
        <v>0.5</v>
      </c>
      <c r="L7" s="34">
        <f t="shared" si="0"/>
        <v>0</v>
      </c>
      <c r="M7" s="35"/>
    </row>
    <row r="8" spans="1:13" ht="12.95" customHeight="1" thickBot="1" x14ac:dyDescent="0.3">
      <c r="A8" s="82"/>
      <c r="B8" s="75"/>
      <c r="C8" s="77"/>
      <c r="D8" s="11" t="s">
        <v>0</v>
      </c>
      <c r="E8" s="22"/>
      <c r="F8" s="41">
        <f>0.65616*G8-0.2</f>
        <v>-0.69212000000000007</v>
      </c>
      <c r="G8" s="41">
        <f>(L8-3)/4</f>
        <v>-0.75</v>
      </c>
      <c r="H8" s="41">
        <f>(L8-1)/2</f>
        <v>-0.5</v>
      </c>
      <c r="I8" s="41">
        <f>(L8+1)/4</f>
        <v>0.25</v>
      </c>
      <c r="J8" s="42">
        <f t="shared" si="1"/>
        <v>0.5</v>
      </c>
      <c r="L8" s="34">
        <f t="shared" si="0"/>
        <v>0</v>
      </c>
      <c r="M8" s="35"/>
    </row>
    <row r="9" spans="1:13" ht="12.95" customHeight="1" x14ac:dyDescent="0.25">
      <c r="A9" s="82"/>
      <c r="B9" s="75"/>
      <c r="C9" s="71" t="s">
        <v>15</v>
      </c>
      <c r="D9" s="5" t="s">
        <v>1</v>
      </c>
      <c r="E9" s="21"/>
      <c r="F9" s="32">
        <f>0.65616*G9-0.3</f>
        <v>-1.28424</v>
      </c>
      <c r="G9" s="32">
        <f>(L9-6)/4</f>
        <v>-1.5</v>
      </c>
      <c r="H9" s="32">
        <f>(L9-2)/2</f>
        <v>-1</v>
      </c>
      <c r="I9" s="32">
        <f>(L9+2)/4</f>
        <v>0.5</v>
      </c>
      <c r="J9" s="40">
        <f t="shared" si="1"/>
        <v>1</v>
      </c>
      <c r="L9" s="34">
        <f t="shared" si="0"/>
        <v>0</v>
      </c>
      <c r="M9" s="35"/>
    </row>
    <row r="10" spans="1:13" ht="12.95" customHeight="1" thickBot="1" x14ac:dyDescent="0.3">
      <c r="A10" s="82"/>
      <c r="B10" s="75"/>
      <c r="C10" s="77"/>
      <c r="D10" s="11" t="s">
        <v>0</v>
      </c>
      <c r="E10" s="22"/>
      <c r="F10" s="41">
        <f>0.65616*G10-0.3</f>
        <v>-1.28424</v>
      </c>
      <c r="G10" s="41">
        <f>(L10-6)/4</f>
        <v>-1.5</v>
      </c>
      <c r="H10" s="41">
        <f>(L10-2)/2</f>
        <v>-1</v>
      </c>
      <c r="I10" s="41">
        <f>(L10+2)/4</f>
        <v>0.5</v>
      </c>
      <c r="J10" s="42">
        <f t="shared" si="1"/>
        <v>1</v>
      </c>
      <c r="L10" s="34">
        <f t="shared" si="0"/>
        <v>0</v>
      </c>
      <c r="M10" s="35"/>
    </row>
    <row r="11" spans="1:13" ht="12.95" customHeight="1" x14ac:dyDescent="0.25">
      <c r="A11" s="82"/>
      <c r="B11" s="75"/>
      <c r="C11" s="71" t="s">
        <v>14</v>
      </c>
      <c r="D11" s="15" t="s">
        <v>1</v>
      </c>
      <c r="E11" s="23"/>
      <c r="F11" s="32">
        <f>0.65616*G11-0.5</f>
        <v>-1.7302999999999999</v>
      </c>
      <c r="G11" s="32">
        <f>H11-I11</f>
        <v>-1.875</v>
      </c>
      <c r="H11" s="32">
        <f>L11-J11</f>
        <v>-1.25</v>
      </c>
      <c r="I11" s="32">
        <f>(L11+2.5)/4</f>
        <v>0.625</v>
      </c>
      <c r="J11" s="40">
        <f t="shared" si="1"/>
        <v>1.25</v>
      </c>
      <c r="L11" s="34">
        <f t="shared" si="0"/>
        <v>0</v>
      </c>
      <c r="M11" s="35"/>
    </row>
    <row r="12" spans="1:13" ht="12.95" customHeight="1" thickBot="1" x14ac:dyDescent="0.3">
      <c r="A12" s="82"/>
      <c r="B12" s="76"/>
      <c r="C12" s="72"/>
      <c r="D12" s="4" t="s">
        <v>0</v>
      </c>
      <c r="E12" s="23"/>
      <c r="F12" s="45">
        <f>0.65616*G12-0.5</f>
        <v>-1.7302999999999999</v>
      </c>
      <c r="G12" s="45">
        <f>H12-I12</f>
        <v>-1.875</v>
      </c>
      <c r="H12" s="45">
        <f>L12-J12</f>
        <v>-1.25</v>
      </c>
      <c r="I12" s="45">
        <f>(L12+2.5)/4</f>
        <v>0.625</v>
      </c>
      <c r="J12" s="46">
        <f t="shared" si="1"/>
        <v>1.25</v>
      </c>
      <c r="L12" s="34">
        <f t="shared" si="0"/>
        <v>0</v>
      </c>
      <c r="M12" s="35"/>
    </row>
    <row r="13" spans="1:13" ht="12.95" customHeight="1" thickTop="1" thickBot="1" x14ac:dyDescent="0.3">
      <c r="A13" s="82"/>
      <c r="B13" s="17">
        <v>100</v>
      </c>
      <c r="C13" s="16"/>
      <c r="D13" s="13"/>
      <c r="E13" s="12"/>
      <c r="F13" s="47" t="s">
        <v>13</v>
      </c>
      <c r="G13" s="47" t="s">
        <v>18</v>
      </c>
      <c r="H13" s="47" t="s">
        <v>12</v>
      </c>
      <c r="I13" s="47" t="s">
        <v>10</v>
      </c>
      <c r="J13" s="48" t="s">
        <v>9</v>
      </c>
      <c r="L13" s="34">
        <f t="shared" si="0"/>
        <v>0</v>
      </c>
    </row>
    <row r="14" spans="1:13" ht="12.95" customHeight="1" x14ac:dyDescent="0.25">
      <c r="A14" s="82"/>
      <c r="B14" s="75">
        <v>200</v>
      </c>
      <c r="C14" s="71" t="s">
        <v>17</v>
      </c>
      <c r="D14" s="5" t="s">
        <v>1</v>
      </c>
      <c r="E14" s="21"/>
      <c r="F14" s="43">
        <f>(L14+1.7)/4</f>
        <v>0.42499999999999999</v>
      </c>
      <c r="G14" s="43">
        <f t="shared" ref="G14:G21" si="2">1.5*F14</f>
        <v>0.63749999999999996</v>
      </c>
      <c r="H14" s="43">
        <f t="shared" ref="H14:H19" si="3">2*F14</f>
        <v>0.85</v>
      </c>
      <c r="I14" s="43">
        <f>F14-1.7</f>
        <v>-1.2749999999999999</v>
      </c>
      <c r="J14" s="44">
        <f t="shared" ref="J14:J19" si="4">I14+F14</f>
        <v>-0.84999999999999987</v>
      </c>
      <c r="L14" s="34">
        <f t="shared" si="0"/>
        <v>0</v>
      </c>
      <c r="M14" s="35"/>
    </row>
    <row r="15" spans="1:13" ht="12.95" customHeight="1" thickBot="1" x14ac:dyDescent="0.3">
      <c r="A15" s="82"/>
      <c r="B15" s="75"/>
      <c r="C15" s="77"/>
      <c r="D15" s="11" t="s">
        <v>0</v>
      </c>
      <c r="E15" s="22"/>
      <c r="F15" s="41">
        <f>(L15+1.7)/4</f>
        <v>0.42499999999999999</v>
      </c>
      <c r="G15" s="41">
        <f t="shared" si="2"/>
        <v>0.63749999999999996</v>
      </c>
      <c r="H15" s="41">
        <f t="shared" si="3"/>
        <v>0.85</v>
      </c>
      <c r="I15" s="41">
        <f>F15-1.7</f>
        <v>-1.2749999999999999</v>
      </c>
      <c r="J15" s="42">
        <f t="shared" si="4"/>
        <v>-0.84999999999999987</v>
      </c>
      <c r="L15" s="34">
        <f t="shared" si="0"/>
        <v>0</v>
      </c>
      <c r="M15" s="35"/>
    </row>
    <row r="16" spans="1:13" ht="12.95" customHeight="1" x14ac:dyDescent="0.25">
      <c r="A16" s="82"/>
      <c r="B16" s="75"/>
      <c r="C16" s="71" t="s">
        <v>16</v>
      </c>
      <c r="D16" s="5" t="s">
        <v>1</v>
      </c>
      <c r="E16" s="21"/>
      <c r="F16" s="43">
        <f>(L16+1)/4</f>
        <v>0.25</v>
      </c>
      <c r="G16" s="43">
        <f t="shared" si="2"/>
        <v>0.375</v>
      </c>
      <c r="H16" s="43">
        <f t="shared" si="3"/>
        <v>0.5</v>
      </c>
      <c r="I16" s="43">
        <f>F16-1</f>
        <v>-0.75</v>
      </c>
      <c r="J16" s="44">
        <f t="shared" si="4"/>
        <v>-0.5</v>
      </c>
      <c r="L16" s="34">
        <f t="shared" si="0"/>
        <v>0</v>
      </c>
      <c r="M16" s="35"/>
    </row>
    <row r="17" spans="1:13" ht="12.95" customHeight="1" thickBot="1" x14ac:dyDescent="0.3">
      <c r="A17" s="82"/>
      <c r="B17" s="75"/>
      <c r="C17" s="77"/>
      <c r="D17" s="11" t="s">
        <v>0</v>
      </c>
      <c r="E17" s="22"/>
      <c r="F17" s="41">
        <f>(L17+1)/4</f>
        <v>0.25</v>
      </c>
      <c r="G17" s="41">
        <f t="shared" si="2"/>
        <v>0.375</v>
      </c>
      <c r="H17" s="41">
        <f t="shared" si="3"/>
        <v>0.5</v>
      </c>
      <c r="I17" s="41">
        <f>F17-1</f>
        <v>-0.75</v>
      </c>
      <c r="J17" s="42">
        <f t="shared" si="4"/>
        <v>-0.5</v>
      </c>
      <c r="L17" s="34">
        <f t="shared" si="0"/>
        <v>0</v>
      </c>
      <c r="M17" s="35"/>
    </row>
    <row r="18" spans="1:13" ht="12.95" customHeight="1" x14ac:dyDescent="0.25">
      <c r="A18" s="82"/>
      <c r="B18" s="75"/>
      <c r="C18" s="71" t="s">
        <v>15</v>
      </c>
      <c r="D18" s="5" t="s">
        <v>1</v>
      </c>
      <c r="E18" s="21"/>
      <c r="F18" s="43">
        <f>(L18+2)/4</f>
        <v>0.5</v>
      </c>
      <c r="G18" s="43">
        <f t="shared" si="2"/>
        <v>0.75</v>
      </c>
      <c r="H18" s="43">
        <f t="shared" si="3"/>
        <v>1</v>
      </c>
      <c r="I18" s="43">
        <f>F18-2</f>
        <v>-1.5</v>
      </c>
      <c r="J18" s="44">
        <f t="shared" si="4"/>
        <v>-1</v>
      </c>
      <c r="L18" s="34">
        <f t="shared" si="0"/>
        <v>0</v>
      </c>
      <c r="M18" s="35"/>
    </row>
    <row r="19" spans="1:13" ht="12.95" customHeight="1" thickBot="1" x14ac:dyDescent="0.3">
      <c r="A19" s="82"/>
      <c r="B19" s="75"/>
      <c r="C19" s="77"/>
      <c r="D19" s="11" t="s">
        <v>0</v>
      </c>
      <c r="E19" s="22"/>
      <c r="F19" s="41">
        <f>(L19+2)/4</f>
        <v>0.5</v>
      </c>
      <c r="G19" s="41">
        <f t="shared" si="2"/>
        <v>0.75</v>
      </c>
      <c r="H19" s="41">
        <f t="shared" si="3"/>
        <v>1</v>
      </c>
      <c r="I19" s="41">
        <f>F19-2</f>
        <v>-1.5</v>
      </c>
      <c r="J19" s="42">
        <f t="shared" si="4"/>
        <v>-1</v>
      </c>
      <c r="L19" s="34">
        <f t="shared" si="0"/>
        <v>0</v>
      </c>
      <c r="M19" s="35"/>
    </row>
    <row r="20" spans="1:13" ht="12.95" customHeight="1" x14ac:dyDescent="0.25">
      <c r="A20" s="82"/>
      <c r="B20" s="75"/>
      <c r="C20" s="71" t="s">
        <v>14</v>
      </c>
      <c r="D20" s="15" t="s">
        <v>1</v>
      </c>
      <c r="E20" s="23"/>
      <c r="F20" s="49">
        <f>(L20+2.8)/4</f>
        <v>0.7</v>
      </c>
      <c r="G20" s="49">
        <f t="shared" si="2"/>
        <v>1.0499999999999998</v>
      </c>
      <c r="H20" s="49">
        <f>F20*2</f>
        <v>1.4</v>
      </c>
      <c r="I20" s="49">
        <f>F20-2.8</f>
        <v>-2.0999999999999996</v>
      </c>
      <c r="J20" s="50">
        <f>F20+I20</f>
        <v>-1.3999999999999997</v>
      </c>
      <c r="L20" s="34">
        <f t="shared" si="0"/>
        <v>0</v>
      </c>
      <c r="M20" s="35"/>
    </row>
    <row r="21" spans="1:13" ht="12.95" customHeight="1" thickBot="1" x14ac:dyDescent="0.3">
      <c r="A21" s="82"/>
      <c r="B21" s="76"/>
      <c r="C21" s="72"/>
      <c r="D21" s="4" t="s">
        <v>0</v>
      </c>
      <c r="E21" s="23"/>
      <c r="F21" s="45">
        <f>(L21+2.8)/4</f>
        <v>0.7</v>
      </c>
      <c r="G21" s="45">
        <f t="shared" si="2"/>
        <v>1.0499999999999998</v>
      </c>
      <c r="H21" s="45">
        <f>F21*2</f>
        <v>1.4</v>
      </c>
      <c r="I21" s="45">
        <f>F21-2.8</f>
        <v>-2.0999999999999996</v>
      </c>
      <c r="J21" s="46">
        <f>F21+I21</f>
        <v>-1.3999999999999997</v>
      </c>
      <c r="L21" s="34">
        <f t="shared" si="0"/>
        <v>0</v>
      </c>
      <c r="M21" s="35"/>
    </row>
    <row r="22" spans="1:13" ht="12.95" customHeight="1" thickTop="1" thickBot="1" x14ac:dyDescent="0.3">
      <c r="A22" s="82"/>
      <c r="B22" s="14"/>
      <c r="C22" s="13"/>
      <c r="D22" s="13"/>
      <c r="E22" s="12"/>
      <c r="F22" s="51" t="s">
        <v>13</v>
      </c>
      <c r="G22" s="51" t="s">
        <v>12</v>
      </c>
      <c r="H22" s="51" t="s">
        <v>11</v>
      </c>
      <c r="I22" s="51" t="s">
        <v>10</v>
      </c>
      <c r="J22" s="52" t="s">
        <v>9</v>
      </c>
      <c r="L22" s="34">
        <f t="shared" si="0"/>
        <v>0</v>
      </c>
    </row>
    <row r="23" spans="1:13" ht="12.95" customHeight="1" x14ac:dyDescent="0.25">
      <c r="A23" s="82"/>
      <c r="B23" s="86" t="s">
        <v>25</v>
      </c>
      <c r="C23" s="71">
        <v>500</v>
      </c>
      <c r="D23" s="5" t="s">
        <v>1</v>
      </c>
      <c r="E23" s="21"/>
      <c r="F23" s="62">
        <f>(L23+1.7)/10</f>
        <v>0.16999999999999998</v>
      </c>
      <c r="G23" s="63">
        <f>IF(((L23+1.7)*2)&gt;600, ((L23+1.7)*2)+400, (L23+1.7)*2)</f>
        <v>3.4</v>
      </c>
      <c r="H23" s="64">
        <f t="shared" ref="H23:H28" si="5">INT((F23*3)/59.949)*1000+IF(F23*3&gt;=59.949,(F23*30-600),0)</f>
        <v>0</v>
      </c>
      <c r="I23" s="62">
        <f>(L23+1.7)/10-1.7</f>
        <v>-1.53</v>
      </c>
      <c r="J23" s="64">
        <f t="shared" ref="J23:J28" si="6">INT((I23+F23)/59.949)*1000+IF(I23+F23&gt;59.949,(I23+F23-59.949)*10,(I23+F23)*10)</f>
        <v>-1013.6</v>
      </c>
      <c r="L23" s="34">
        <f t="shared" si="0"/>
        <v>0</v>
      </c>
      <c r="M23" s="35"/>
    </row>
    <row r="24" spans="1:13" ht="12.95" customHeight="1" thickBot="1" x14ac:dyDescent="0.3">
      <c r="A24" s="82"/>
      <c r="B24" s="86"/>
      <c r="C24" s="77"/>
      <c r="D24" s="11" t="s">
        <v>0</v>
      </c>
      <c r="E24" s="22"/>
      <c r="F24" s="65">
        <f>(L24+1.7)/10</f>
        <v>0.16999999999999998</v>
      </c>
      <c r="G24" s="66">
        <f>IF(((L24+1.7)*2)&gt;600, ((L24+1.7)*2)+400, (L24+1.7)*2)</f>
        <v>3.4</v>
      </c>
      <c r="H24" s="66">
        <f t="shared" si="5"/>
        <v>0</v>
      </c>
      <c r="I24" s="65">
        <f>(L24+1.7)/10-1.7</f>
        <v>-1.53</v>
      </c>
      <c r="J24" s="67">
        <f t="shared" si="6"/>
        <v>-1013.6</v>
      </c>
      <c r="L24" s="34">
        <f t="shared" si="0"/>
        <v>0</v>
      </c>
      <c r="M24" s="35"/>
    </row>
    <row r="25" spans="1:13" ht="12.95" customHeight="1" x14ac:dyDescent="0.25">
      <c r="A25" s="82"/>
      <c r="B25" s="86"/>
      <c r="C25" s="71">
        <v>1000</v>
      </c>
      <c r="D25" s="5" t="s">
        <v>1</v>
      </c>
      <c r="E25" s="21"/>
      <c r="F25" s="68">
        <f>(L25+2)/20</f>
        <v>0.1</v>
      </c>
      <c r="G25" s="63">
        <f>IF(((L25+1.7))&gt;600, ((L25+1.7))+400, (L25+1.7)*2)</f>
        <v>3.4</v>
      </c>
      <c r="H25" s="63">
        <f t="shared" si="5"/>
        <v>0</v>
      </c>
      <c r="I25" s="68">
        <f>F25-2</f>
        <v>-1.9</v>
      </c>
      <c r="J25" s="69">
        <f t="shared" si="6"/>
        <v>-1018</v>
      </c>
      <c r="L25" s="34">
        <f t="shared" si="0"/>
        <v>0</v>
      </c>
      <c r="M25" s="35"/>
    </row>
    <row r="26" spans="1:13" ht="12.95" customHeight="1" thickBot="1" x14ac:dyDescent="0.3">
      <c r="A26" s="82"/>
      <c r="B26" s="86"/>
      <c r="C26" s="77"/>
      <c r="D26" s="11" t="s">
        <v>0</v>
      </c>
      <c r="E26" s="22"/>
      <c r="F26" s="70">
        <f>(L26+2)/20</f>
        <v>0.1</v>
      </c>
      <c r="G26" s="66">
        <f>IF(((L26+1.7))&gt;600, ((L26+1.7))+400, (L26+1.7))</f>
        <v>1.7</v>
      </c>
      <c r="H26" s="66">
        <f t="shared" si="5"/>
        <v>0</v>
      </c>
      <c r="I26" s="65">
        <f>F26-2</f>
        <v>-1.9</v>
      </c>
      <c r="J26" s="67">
        <f t="shared" si="6"/>
        <v>-1018</v>
      </c>
      <c r="L26" s="34">
        <f t="shared" si="0"/>
        <v>0</v>
      </c>
      <c r="M26" s="35"/>
    </row>
    <row r="27" spans="1:13" ht="12.75" customHeight="1" x14ac:dyDescent="0.25">
      <c r="A27" s="82"/>
      <c r="B27" s="86"/>
      <c r="C27" s="71" t="s">
        <v>8</v>
      </c>
      <c r="D27" s="5" t="s">
        <v>1</v>
      </c>
      <c r="E27" s="21"/>
      <c r="F27" s="62">
        <f>(L27+2)/33</f>
        <v>6.0606060606060608E-2</v>
      </c>
      <c r="G27" s="63">
        <f>IF(((L27+1.7)/16.5*10)&gt;600, ((L27+1.7)/16.5*10)+400, (L27+1.7)/16.5*10)</f>
        <v>1.0303030303030303</v>
      </c>
      <c r="H27" s="64">
        <f t="shared" si="5"/>
        <v>0</v>
      </c>
      <c r="I27" s="62">
        <f>F27-2</f>
        <v>-1.9393939393939394</v>
      </c>
      <c r="J27" s="69">
        <f t="shared" si="6"/>
        <v>-1018.7878787878788</v>
      </c>
      <c r="L27" s="34">
        <f t="shared" si="0"/>
        <v>0</v>
      </c>
      <c r="M27" s="35"/>
    </row>
    <row r="28" spans="1:13" ht="12.75" customHeight="1" thickBot="1" x14ac:dyDescent="0.3">
      <c r="A28" s="82"/>
      <c r="B28" s="87"/>
      <c r="C28" s="77"/>
      <c r="D28" s="11" t="s">
        <v>0</v>
      </c>
      <c r="E28" s="22"/>
      <c r="F28" s="65">
        <f>(L28+2)/33</f>
        <v>6.0606060606060608E-2</v>
      </c>
      <c r="G28" s="66">
        <f>IF(((L28+1.7)/16.5*10)&gt;600, ((L28+1.7)/16.5*10)+400, (L28+1.7)/16.5*10)</f>
        <v>1.0303030303030303</v>
      </c>
      <c r="H28" s="66">
        <f t="shared" si="5"/>
        <v>0</v>
      </c>
      <c r="I28" s="65">
        <f>F28-2</f>
        <v>-1.9393939393939394</v>
      </c>
      <c r="J28" s="67">
        <f t="shared" si="6"/>
        <v>-1018.7878787878788</v>
      </c>
      <c r="L28" s="34">
        <f t="shared" si="0"/>
        <v>0</v>
      </c>
      <c r="M28" s="35"/>
    </row>
    <row r="29" spans="1:13" ht="12.75" customHeight="1" thickBot="1" x14ac:dyDescent="0.3">
      <c r="A29" s="82"/>
      <c r="B29" s="10"/>
      <c r="C29" s="9"/>
      <c r="D29" s="8"/>
      <c r="E29" s="7"/>
      <c r="F29" s="53" t="s">
        <v>7</v>
      </c>
      <c r="G29" s="53" t="s">
        <v>6</v>
      </c>
      <c r="H29" s="53" t="s">
        <v>5</v>
      </c>
      <c r="I29" s="53" t="s">
        <v>4</v>
      </c>
      <c r="J29" s="54" t="s">
        <v>3</v>
      </c>
      <c r="L29" s="34">
        <f t="shared" si="0"/>
        <v>0</v>
      </c>
      <c r="M29" s="35"/>
    </row>
    <row r="30" spans="1:13" ht="12.75" customHeight="1" x14ac:dyDescent="0.25">
      <c r="A30" s="82"/>
      <c r="B30" s="73" t="s">
        <v>2</v>
      </c>
      <c r="C30" s="71">
        <v>200</v>
      </c>
      <c r="D30" s="5" t="s">
        <v>1</v>
      </c>
      <c r="E30" s="21"/>
      <c r="F30" s="55"/>
      <c r="G30" s="55"/>
      <c r="H30" s="55"/>
      <c r="I30" s="55"/>
      <c r="J30" s="56"/>
      <c r="L30" s="34">
        <f t="shared" si="0"/>
        <v>0</v>
      </c>
      <c r="M30" s="35"/>
    </row>
    <row r="31" spans="1:13" ht="12.75" customHeight="1" thickBot="1" x14ac:dyDescent="0.3">
      <c r="A31" s="82"/>
      <c r="B31" s="73"/>
      <c r="C31" s="88"/>
      <c r="D31" s="6" t="s">
        <v>0</v>
      </c>
      <c r="E31" s="25"/>
      <c r="F31" s="57"/>
      <c r="G31" s="57"/>
      <c r="H31" s="57"/>
      <c r="I31" s="57"/>
      <c r="J31" s="58"/>
      <c r="L31" s="34">
        <f t="shared" si="0"/>
        <v>0</v>
      </c>
      <c r="M31" s="35"/>
    </row>
    <row r="32" spans="1:13" ht="12.75" customHeight="1" x14ac:dyDescent="0.25">
      <c r="A32" s="82"/>
      <c r="B32" s="73"/>
      <c r="C32" s="71">
        <v>400</v>
      </c>
      <c r="D32" s="5" t="s">
        <v>1</v>
      </c>
      <c r="E32" s="21"/>
      <c r="F32" s="55"/>
      <c r="G32" s="55"/>
      <c r="H32" s="55"/>
      <c r="I32" s="55"/>
      <c r="J32" s="56"/>
      <c r="L32" s="34">
        <f t="shared" si="0"/>
        <v>0</v>
      </c>
      <c r="M32" s="35"/>
    </row>
    <row r="33" spans="1:13" ht="12.75" customHeight="1" thickBot="1" x14ac:dyDescent="0.3">
      <c r="A33" s="83"/>
      <c r="B33" s="74"/>
      <c r="C33" s="72"/>
      <c r="D33" s="4" t="s">
        <v>0</v>
      </c>
      <c r="E33" s="26"/>
      <c r="F33" s="59"/>
      <c r="G33" s="59"/>
      <c r="H33" s="59"/>
      <c r="I33" s="59"/>
      <c r="J33" s="60"/>
      <c r="L33" s="34">
        <f t="shared" si="0"/>
        <v>0</v>
      </c>
      <c r="M33" s="35"/>
    </row>
    <row r="34" spans="1:13" ht="16.5" thickTop="1" x14ac:dyDescent="0.25"/>
  </sheetData>
  <autoFilter ref="L1:M33"/>
  <mergeCells count="21">
    <mergeCell ref="B1:E1"/>
    <mergeCell ref="A1:A33"/>
    <mergeCell ref="C2:C3"/>
    <mergeCell ref="B2:B3"/>
    <mergeCell ref="C23:C24"/>
    <mergeCell ref="C25:C26"/>
    <mergeCell ref="C27:C28"/>
    <mergeCell ref="B23:B28"/>
    <mergeCell ref="C5:C6"/>
    <mergeCell ref="C7:C8"/>
    <mergeCell ref="C9:C10"/>
    <mergeCell ref="C16:C17"/>
    <mergeCell ref="C18:C19"/>
    <mergeCell ref="C20:C21"/>
    <mergeCell ref="B5:B12"/>
    <mergeCell ref="C30:C31"/>
    <mergeCell ref="C32:C33"/>
    <mergeCell ref="B30:B33"/>
    <mergeCell ref="C11:C12"/>
    <mergeCell ref="B14:B21"/>
    <mergeCell ref="C14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MyPaceCard-SCY</vt:lpstr>
      <vt:lpstr>'MyPaceCard-SCY'!Criteria</vt:lpstr>
      <vt:lpstr>'MyPaceCard-SCY'!Print_Area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Woodruff</dc:creator>
  <cp:lastModifiedBy>Abby Woodruff</cp:lastModifiedBy>
  <dcterms:created xsi:type="dcterms:W3CDTF">2012-12-30T03:30:38Z</dcterms:created>
  <dcterms:modified xsi:type="dcterms:W3CDTF">2015-05-31T04:01:29Z</dcterms:modified>
</cp:coreProperties>
</file>