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checkCompatibility="1" autoCompressPictures="0"/>
  <bookViews>
    <workbookView xWindow="0" yWindow="0" windowWidth="25340" windowHeight="16040" tabRatio="500"/>
  </bookViews>
  <sheets>
    <sheet name="Lactaat Calculation" sheetId="1" r:id="rId1"/>
    <sheet name="Resistance 200m" sheetId="3" r:id="rId2"/>
    <sheet name="Resistance 100m" sheetId="4" r:id="rId3"/>
    <sheet name="Overview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5" l="1"/>
  <c r="D1" i="5"/>
  <c r="A7" i="4"/>
  <c r="A8" i="4"/>
  <c r="D8" i="5"/>
  <c r="A7" i="3"/>
  <c r="B6" i="3"/>
  <c r="L9" i="3"/>
  <c r="L25" i="3"/>
  <c r="D39" i="3"/>
  <c r="D38" i="3"/>
  <c r="D37" i="3"/>
  <c r="L24" i="3"/>
  <c r="C39" i="3"/>
  <c r="C38" i="3"/>
  <c r="L29" i="3"/>
  <c r="H39" i="3"/>
  <c r="H37" i="3"/>
  <c r="H38" i="3"/>
  <c r="H41" i="3"/>
  <c r="H44" i="3"/>
  <c r="H45" i="3"/>
  <c r="L28" i="3"/>
  <c r="G39" i="3"/>
  <c r="G45" i="3"/>
  <c r="G44" i="3"/>
  <c r="G42" i="3"/>
  <c r="G41" i="3"/>
  <c r="G38" i="3"/>
  <c r="G37" i="3"/>
  <c r="L27" i="3"/>
  <c r="F39" i="3"/>
  <c r="F37" i="3"/>
  <c r="F38" i="3"/>
  <c r="L26" i="3"/>
  <c r="E39" i="3"/>
  <c r="E45" i="3"/>
  <c r="E44" i="3"/>
  <c r="E42" i="3"/>
  <c r="E41" i="3"/>
  <c r="E38" i="3"/>
  <c r="E37" i="3"/>
  <c r="D45" i="3"/>
  <c r="D44" i="3"/>
  <c r="D42" i="3"/>
  <c r="D41" i="3"/>
  <c r="C45" i="3"/>
  <c r="C44" i="3"/>
  <c r="C42" i="3"/>
  <c r="C41" i="3"/>
  <c r="C37" i="3"/>
  <c r="B6" i="4"/>
  <c r="L9" i="4"/>
  <c r="L29" i="4"/>
  <c r="H39" i="4"/>
  <c r="H56" i="5"/>
  <c r="L28" i="4"/>
  <c r="G39" i="4"/>
  <c r="G56" i="5"/>
  <c r="L27" i="4"/>
  <c r="F39" i="4"/>
  <c r="F56" i="5"/>
  <c r="L26" i="4"/>
  <c r="E39" i="4"/>
  <c r="E56" i="5"/>
  <c r="L24" i="4"/>
  <c r="L25" i="4"/>
  <c r="D39" i="4"/>
  <c r="D56" i="5"/>
  <c r="C39" i="4"/>
  <c r="C56" i="5"/>
  <c r="H62" i="5"/>
  <c r="G62" i="5"/>
  <c r="F62" i="5"/>
  <c r="E62" i="5"/>
  <c r="D62" i="5"/>
  <c r="C62" i="5"/>
  <c r="H61" i="5"/>
  <c r="G61" i="5"/>
  <c r="F61" i="5"/>
  <c r="E61" i="5"/>
  <c r="D61" i="5"/>
  <c r="C61" i="5"/>
  <c r="H59" i="5"/>
  <c r="G59" i="5"/>
  <c r="F59" i="5"/>
  <c r="E59" i="5"/>
  <c r="D59" i="5"/>
  <c r="C59" i="5"/>
  <c r="H58" i="5"/>
  <c r="G58" i="5"/>
  <c r="F58" i="5"/>
  <c r="E58" i="5"/>
  <c r="D58" i="5"/>
  <c r="C58" i="5"/>
  <c r="H55" i="5"/>
  <c r="G55" i="5"/>
  <c r="F55" i="5"/>
  <c r="E55" i="5"/>
  <c r="D55" i="5"/>
  <c r="C55" i="5"/>
  <c r="H54" i="5"/>
  <c r="G54" i="5"/>
  <c r="F54" i="5"/>
  <c r="E54" i="5"/>
  <c r="D54" i="5"/>
  <c r="C54" i="5"/>
  <c r="H44" i="5"/>
  <c r="G44" i="5"/>
  <c r="F44" i="5"/>
  <c r="E44" i="5"/>
  <c r="D44" i="5"/>
  <c r="C44" i="5"/>
  <c r="H50" i="5"/>
  <c r="G50" i="5"/>
  <c r="F50" i="5"/>
  <c r="E50" i="5"/>
  <c r="D50" i="5"/>
  <c r="C50" i="5"/>
  <c r="H49" i="5"/>
  <c r="G49" i="5"/>
  <c r="F49" i="5"/>
  <c r="E49" i="5"/>
  <c r="D49" i="5"/>
  <c r="C49" i="5"/>
  <c r="H47" i="5"/>
  <c r="G47" i="5"/>
  <c r="F47" i="5"/>
  <c r="E47" i="5"/>
  <c r="D47" i="5"/>
  <c r="C47" i="5"/>
  <c r="H46" i="5"/>
  <c r="G46" i="5"/>
  <c r="F46" i="5"/>
  <c r="E46" i="5"/>
  <c r="D46" i="5"/>
  <c r="C46" i="5"/>
  <c r="H43" i="5"/>
  <c r="G43" i="5"/>
  <c r="F43" i="5"/>
  <c r="E43" i="5"/>
  <c r="D43" i="5"/>
  <c r="C43" i="5"/>
  <c r="H42" i="5"/>
  <c r="G42" i="5"/>
  <c r="F42" i="5"/>
  <c r="E42" i="5"/>
  <c r="D42" i="5"/>
  <c r="C42" i="5"/>
  <c r="B6" i="1"/>
  <c r="L27" i="1"/>
  <c r="H38" i="1"/>
  <c r="H31" i="5"/>
  <c r="L26" i="1"/>
  <c r="G38" i="1"/>
  <c r="G31" i="5"/>
  <c r="L25" i="1"/>
  <c r="F38" i="1"/>
  <c r="F31" i="5"/>
  <c r="L24" i="1"/>
  <c r="E38" i="1"/>
  <c r="E31" i="5"/>
  <c r="L23" i="1"/>
  <c r="D38" i="1"/>
  <c r="D31" i="5"/>
  <c r="L22" i="1"/>
  <c r="C38" i="1"/>
  <c r="C31" i="5"/>
  <c r="H37" i="5"/>
  <c r="G37" i="5"/>
  <c r="F37" i="5"/>
  <c r="E37" i="5"/>
  <c r="D37" i="5"/>
  <c r="C37" i="5"/>
  <c r="H36" i="5"/>
  <c r="G36" i="5"/>
  <c r="F36" i="5"/>
  <c r="E36" i="5"/>
  <c r="D36" i="5"/>
  <c r="C36" i="5"/>
  <c r="H34" i="5"/>
  <c r="G34" i="5"/>
  <c r="F34" i="5"/>
  <c r="E34" i="5"/>
  <c r="D34" i="5"/>
  <c r="C34" i="5"/>
  <c r="H33" i="5"/>
  <c r="G33" i="5"/>
  <c r="F33" i="5"/>
  <c r="E33" i="5"/>
  <c r="D33" i="5"/>
  <c r="C33" i="5"/>
  <c r="H30" i="5"/>
  <c r="G30" i="5"/>
  <c r="F30" i="5"/>
  <c r="E30" i="5"/>
  <c r="D30" i="5"/>
  <c r="C30" i="5"/>
  <c r="H29" i="5"/>
  <c r="G29" i="5"/>
  <c r="F29" i="5"/>
  <c r="E29" i="5"/>
  <c r="D29" i="5"/>
  <c r="C29" i="5"/>
  <c r="D32" i="4"/>
  <c r="F24" i="5"/>
  <c r="D30" i="4"/>
  <c r="F23" i="5"/>
  <c r="D28" i="4"/>
  <c r="F22" i="5"/>
  <c r="D26" i="4"/>
  <c r="F21" i="5"/>
  <c r="D24" i="4"/>
  <c r="F20" i="5"/>
  <c r="D22" i="4"/>
  <c r="F19" i="5"/>
  <c r="D20" i="4"/>
  <c r="F18" i="5"/>
  <c r="D18" i="4"/>
  <c r="F17" i="5"/>
  <c r="D17" i="4"/>
  <c r="F16" i="5"/>
  <c r="D16" i="4"/>
  <c r="F15" i="5"/>
  <c r="F9" i="5"/>
  <c r="F8" i="5"/>
  <c r="D32" i="3"/>
  <c r="D24" i="5"/>
  <c r="D30" i="3"/>
  <c r="D23" i="5"/>
  <c r="D28" i="3"/>
  <c r="D22" i="5"/>
  <c r="D26" i="3"/>
  <c r="D21" i="5"/>
  <c r="D24" i="3"/>
  <c r="D20" i="5"/>
  <c r="D22" i="3"/>
  <c r="D19" i="5"/>
  <c r="D20" i="3"/>
  <c r="D18" i="5"/>
  <c r="D18" i="3"/>
  <c r="D17" i="5"/>
  <c r="D17" i="3"/>
  <c r="D16" i="5"/>
  <c r="D16" i="3"/>
  <c r="D15" i="5"/>
  <c r="D9" i="5"/>
  <c r="D32" i="1"/>
  <c r="B24" i="5"/>
  <c r="D30" i="1"/>
  <c r="B23" i="5"/>
  <c r="D28" i="1"/>
  <c r="B22" i="5"/>
  <c r="D26" i="1"/>
  <c r="B21" i="5"/>
  <c r="D24" i="1"/>
  <c r="B20" i="5"/>
  <c r="D22" i="1"/>
  <c r="B19" i="5"/>
  <c r="D20" i="1"/>
  <c r="B18" i="5"/>
  <c r="D18" i="1"/>
  <c r="B17" i="5"/>
  <c r="D17" i="1"/>
  <c r="B16" i="5"/>
  <c r="D16" i="1"/>
  <c r="B15" i="5"/>
  <c r="B9" i="5"/>
  <c r="B8" i="5"/>
  <c r="H45" i="4"/>
  <c r="G45" i="4"/>
  <c r="F45" i="4"/>
  <c r="E45" i="4"/>
  <c r="D45" i="4"/>
  <c r="C45" i="4"/>
  <c r="H44" i="4"/>
  <c r="G44" i="4"/>
  <c r="F44" i="4"/>
  <c r="E44" i="4"/>
  <c r="D44" i="4"/>
  <c r="C44" i="4"/>
  <c r="H42" i="4"/>
  <c r="G42" i="4"/>
  <c r="F42" i="4"/>
  <c r="E42" i="4"/>
  <c r="D42" i="4"/>
  <c r="C42" i="4"/>
  <c r="H41" i="4"/>
  <c r="G41" i="4"/>
  <c r="F41" i="4"/>
  <c r="E41" i="4"/>
  <c r="D41" i="4"/>
  <c r="C41" i="4"/>
  <c r="H38" i="4"/>
  <c r="G38" i="4"/>
  <c r="F38" i="4"/>
  <c r="E38" i="4"/>
  <c r="D38" i="4"/>
  <c r="C38" i="4"/>
  <c r="H37" i="4"/>
  <c r="G37" i="4"/>
  <c r="F37" i="4"/>
  <c r="E37" i="4"/>
  <c r="D37" i="4"/>
  <c r="C37" i="4"/>
  <c r="C14" i="4"/>
  <c r="D14" i="4"/>
  <c r="L18" i="1"/>
  <c r="F45" i="3"/>
  <c r="F44" i="3"/>
  <c r="H42" i="3"/>
  <c r="F42" i="3"/>
  <c r="F41" i="3"/>
  <c r="B8" i="4"/>
  <c r="C32" i="4"/>
  <c r="D31" i="4"/>
  <c r="C31" i="4"/>
  <c r="C30" i="4"/>
  <c r="D29" i="4"/>
  <c r="C29" i="4"/>
  <c r="C28" i="4"/>
  <c r="D27" i="4"/>
  <c r="C27" i="4"/>
  <c r="C26" i="4"/>
  <c r="D25" i="4"/>
  <c r="C25" i="4"/>
  <c r="C24" i="4"/>
  <c r="D23" i="4"/>
  <c r="C23" i="4"/>
  <c r="C22" i="4"/>
  <c r="D21" i="4"/>
  <c r="C21" i="4"/>
  <c r="C20" i="4"/>
  <c r="D19" i="4"/>
  <c r="C19" i="4"/>
  <c r="C18" i="4"/>
  <c r="C17" i="4"/>
  <c r="C16" i="4"/>
  <c r="D15" i="4"/>
  <c r="C15" i="4"/>
  <c r="E8" i="4"/>
  <c r="A8" i="3"/>
  <c r="B8" i="3"/>
  <c r="C32" i="3"/>
  <c r="D31" i="3"/>
  <c r="C31" i="3"/>
  <c r="C30" i="3"/>
  <c r="D29" i="3"/>
  <c r="C29" i="3"/>
  <c r="C28" i="3"/>
  <c r="D27" i="3"/>
  <c r="C27" i="3"/>
  <c r="C26" i="3"/>
  <c r="D25" i="3"/>
  <c r="C25" i="3"/>
  <c r="C24" i="3"/>
  <c r="D23" i="3"/>
  <c r="C23" i="3"/>
  <c r="C22" i="3"/>
  <c r="D21" i="3"/>
  <c r="C21" i="3"/>
  <c r="C20" i="3"/>
  <c r="D19" i="3"/>
  <c r="C19" i="3"/>
  <c r="C18" i="3"/>
  <c r="C17" i="3"/>
  <c r="C16" i="3"/>
  <c r="D15" i="3"/>
  <c r="C15" i="3"/>
  <c r="D14" i="3"/>
  <c r="C14" i="3"/>
  <c r="E8" i="3"/>
  <c r="H44" i="1"/>
  <c r="G44" i="1"/>
  <c r="F44" i="1"/>
  <c r="E44" i="1"/>
  <c r="D44" i="1"/>
  <c r="C44" i="1"/>
  <c r="H43" i="1"/>
  <c r="G43" i="1"/>
  <c r="F43" i="1"/>
  <c r="E43" i="1"/>
  <c r="D43" i="1"/>
  <c r="C43" i="1"/>
  <c r="H41" i="1"/>
  <c r="G41" i="1"/>
  <c r="F41" i="1"/>
  <c r="E41" i="1"/>
  <c r="D41" i="1"/>
  <c r="C41" i="1"/>
  <c r="H40" i="1"/>
  <c r="G40" i="1"/>
  <c r="F40" i="1"/>
  <c r="E40" i="1"/>
  <c r="D40" i="1"/>
  <c r="C40" i="1"/>
  <c r="H37" i="1"/>
  <c r="G37" i="1"/>
  <c r="F37" i="1"/>
  <c r="E37" i="1"/>
  <c r="D37" i="1"/>
  <c r="C37" i="1"/>
  <c r="H36" i="1"/>
  <c r="G36" i="1"/>
  <c r="F36" i="1"/>
  <c r="E36" i="1"/>
  <c r="D36" i="1"/>
  <c r="C36" i="1"/>
  <c r="C32" i="1"/>
  <c r="D31" i="1"/>
  <c r="C31" i="1"/>
  <c r="C30" i="1"/>
  <c r="D29" i="1"/>
  <c r="C29" i="1"/>
  <c r="C28" i="1"/>
  <c r="D27" i="1"/>
  <c r="C27" i="1"/>
  <c r="C26" i="1"/>
  <c r="D25" i="1"/>
  <c r="C25" i="1"/>
  <c r="C24" i="1"/>
  <c r="D23" i="1"/>
  <c r="C23" i="1"/>
  <c r="C22" i="1"/>
  <c r="D21" i="1"/>
  <c r="C21" i="1"/>
  <c r="C20" i="1"/>
  <c r="D19" i="1"/>
  <c r="C19" i="1"/>
  <c r="C18" i="1"/>
  <c r="C17" i="1"/>
  <c r="C16" i="1"/>
  <c r="D15" i="1"/>
  <c r="C15" i="1"/>
  <c r="D14" i="1"/>
  <c r="C14" i="1"/>
  <c r="E8" i="1"/>
</calcChain>
</file>

<file path=xl/sharedStrings.xml><?xml version="1.0" encoding="utf-8"?>
<sst xmlns="http://schemas.openxmlformats.org/spreadsheetml/2006/main" count="230" uniqueCount="63">
  <si>
    <t>distance &amp; style</t>
  </si>
  <si>
    <t>style</t>
  </si>
  <si>
    <t>FS</t>
  </si>
  <si>
    <t>choose:</t>
  </si>
  <si>
    <t>BA</t>
  </si>
  <si>
    <t>Backstroke</t>
  </si>
  <si>
    <t>time</t>
  </si>
  <si>
    <t>BF</t>
  </si>
  <si>
    <t>Butterfly</t>
  </si>
  <si>
    <t>lactate</t>
  </si>
  <si>
    <t>BR</t>
  </si>
  <si>
    <t>Breaststroke</t>
  </si>
  <si>
    <t>Freestyle</t>
  </si>
  <si>
    <t>cont.swim</t>
  </si>
  <si>
    <t>speed</t>
  </si>
  <si>
    <t>Result:</t>
  </si>
  <si>
    <t>Linear analysis</t>
  </si>
  <si>
    <t>Lactate</t>
  </si>
  <si>
    <t>Speed</t>
  </si>
  <si>
    <t>Time</t>
  </si>
  <si>
    <t>step</t>
  </si>
  <si>
    <t>Continuous swimming</t>
  </si>
  <si>
    <t>Extensive</t>
  </si>
  <si>
    <t>Intensive</t>
  </si>
  <si>
    <t>Training</t>
  </si>
  <si>
    <t>LA1</t>
  </si>
  <si>
    <t>LA AE</t>
  </si>
  <si>
    <t>LA2</t>
  </si>
  <si>
    <t>LA3</t>
  </si>
  <si>
    <t>LA4</t>
  </si>
  <si>
    <t>LA5</t>
  </si>
  <si>
    <t>100 m</t>
  </si>
  <si>
    <t>10sec</t>
  </si>
  <si>
    <t>30sec</t>
  </si>
  <si>
    <t>continuous</t>
  </si>
  <si>
    <t>200 m</t>
  </si>
  <si>
    <t>400 m</t>
  </si>
  <si>
    <t>not corrected</t>
  </si>
  <si>
    <t>La4 =</t>
  </si>
  <si>
    <t>TEST RESULTS</t>
  </si>
  <si>
    <t>400 VS</t>
  </si>
  <si>
    <t>La:</t>
  </si>
  <si>
    <t>Extrapolations (lin)</t>
  </si>
  <si>
    <t>Name:</t>
  </si>
  <si>
    <t>Date:</t>
  </si>
  <si>
    <t>First Name:</t>
  </si>
  <si>
    <t>Gender:</t>
  </si>
  <si>
    <t>Pool Length:</t>
  </si>
  <si>
    <t>Location:</t>
  </si>
  <si>
    <t>DoB:</t>
  </si>
  <si>
    <t>Time:</t>
  </si>
  <si>
    <r>
      <t xml:space="preserve">HF </t>
    </r>
    <r>
      <rPr>
        <sz val="12"/>
        <color theme="1"/>
        <rFont val="Calibri"/>
        <family val="2"/>
        <scheme val="minor"/>
      </rPr>
      <t xml:space="preserve">aft. 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Rec</t>
    </r>
    <r>
      <rPr>
        <sz val="12"/>
        <color theme="1"/>
        <rFont val="Calibri"/>
        <family val="2"/>
        <scheme val="minor"/>
      </rPr>
      <t>.:</t>
    </r>
  </si>
  <si>
    <t>HF aft. Swim:</t>
  </si>
  <si>
    <t>TRAINING TIMES</t>
  </si>
  <si>
    <t>Stroke</t>
  </si>
  <si>
    <t>Ramstein Air Base</t>
  </si>
  <si>
    <t>lactate:</t>
  </si>
  <si>
    <t>time:</t>
  </si>
  <si>
    <t>style:</t>
  </si>
  <si>
    <t>distance &amp; style:</t>
  </si>
  <si>
    <t>Name</t>
  </si>
  <si>
    <t>First 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</si>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</sst>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"/>
    <numFmt numFmtId="165" formatCode="0.000"/>
    <numFmt numFmtId="166" formatCode="0.00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i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/>
    <xf numFmtId="47" fontId="0" fillId="0" borderId="0" xfId="0" applyNumberFormat="1"/>
    <xf numFmtId="0" fontId="0" fillId="0" borderId="1" xfId="0" applyBorder="1"/>
    <xf numFmtId="164" fontId="0" fillId="0" borderId="2" xfId="0" applyNumberFormat="1" applyBorder="1"/>
    <xf numFmtId="165" fontId="0" fillId="0" borderId="0" xfId="0" applyNumberFormat="1" applyAlignment="1" applyProtection="1">
      <alignment horizontal="center"/>
      <protection hidden="1"/>
    </xf>
    <xf numFmtId="0" fontId="0" fillId="0" borderId="3" xfId="0" applyBorder="1"/>
    <xf numFmtId="164" fontId="0" fillId="0" borderId="4" xfId="0" applyNumberFormat="1" applyBorder="1"/>
    <xf numFmtId="0" fontId="5" fillId="0" borderId="0" xfId="0" applyFont="1" applyAlignment="1" applyProtection="1">
      <alignment horizontal="center"/>
      <protection hidden="1"/>
    </xf>
    <xf numFmtId="14" fontId="3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hidden="1"/>
    </xf>
    <xf numFmtId="164" fontId="6" fillId="0" borderId="7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/>
    <xf numFmtId="164" fontId="0" fillId="0" borderId="10" xfId="0" applyNumberFormat="1" applyBorder="1"/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2" fontId="0" fillId="0" borderId="2" xfId="0" applyNumberFormat="1" applyBorder="1"/>
    <xf numFmtId="2" fontId="0" fillId="0" borderId="4" xfId="0" applyNumberFormat="1" applyBorder="1"/>
    <xf numFmtId="164" fontId="0" fillId="0" borderId="0" xfId="0" applyNumberFormat="1"/>
    <xf numFmtId="47" fontId="0" fillId="0" borderId="3" xfId="0" applyNumberFormat="1" applyBorder="1"/>
    <xf numFmtId="47" fontId="0" fillId="0" borderId="9" xfId="0" applyNumberFormat="1" applyBorder="1"/>
    <xf numFmtId="2" fontId="0" fillId="0" borderId="10" xfId="0" applyNumberFormat="1" applyBorder="1"/>
    <xf numFmtId="0" fontId="0" fillId="0" borderId="1" xfId="0" applyBorder="1" applyProtection="1">
      <protection hidden="1"/>
    </xf>
    <xf numFmtId="0" fontId="0" fillId="0" borderId="2" xfId="0" applyBorder="1"/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/>
    <xf numFmtId="164" fontId="0" fillId="0" borderId="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9" fillId="0" borderId="13" xfId="17" applyFont="1" applyBorder="1"/>
    <xf numFmtId="0" fontId="9" fillId="0" borderId="14" xfId="17" applyFont="1" applyBorder="1" applyAlignment="1"/>
    <xf numFmtId="0" fontId="2" fillId="0" borderId="16" xfId="17" applyBorder="1"/>
    <xf numFmtId="0" fontId="2" fillId="0" borderId="0" xfId="17" applyBorder="1"/>
    <xf numFmtId="0" fontId="9" fillId="0" borderId="16" xfId="17" applyFont="1" applyBorder="1"/>
    <xf numFmtId="0" fontId="9" fillId="0" borderId="0" xfId="17" applyFont="1" applyBorder="1"/>
    <xf numFmtId="0" fontId="2" fillId="0" borderId="18" xfId="17" applyBorder="1"/>
    <xf numFmtId="0" fontId="2" fillId="0" borderId="19" xfId="17" applyBorder="1"/>
    <xf numFmtId="0" fontId="9" fillId="0" borderId="19" xfId="17" applyFont="1" applyBorder="1"/>
    <xf numFmtId="0" fontId="2" fillId="0" borderId="0" xfId="17"/>
    <xf numFmtId="0" fontId="2" fillId="0" borderId="14" xfId="17" applyBorder="1" applyAlignment="1">
      <alignment horizontal="center"/>
    </xf>
    <xf numFmtId="0" fontId="2" fillId="0" borderId="0" xfId="17" applyBorder="1" applyAlignment="1">
      <alignment horizontal="center"/>
    </xf>
    <xf numFmtId="14" fontId="2" fillId="0" borderId="0" xfId="17" applyNumberFormat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7" applyAlignment="1"/>
    <xf numFmtId="164" fontId="0" fillId="0" borderId="0" xfId="0" applyNumberFormat="1" applyAlignment="1">
      <alignment horizontal="center"/>
    </xf>
    <xf numFmtId="0" fontId="9" fillId="0" borderId="0" xfId="17" applyFont="1"/>
    <xf numFmtId="0" fontId="9" fillId="0" borderId="0" xfId="17" applyFont="1" applyAlignment="1">
      <alignment horizontal="center"/>
    </xf>
    <xf numFmtId="0" fontId="2" fillId="0" borderId="14" xfId="17" applyBorder="1"/>
    <xf numFmtId="0" fontId="13" fillId="0" borderId="15" xfId="17" applyFont="1" applyBorder="1"/>
    <xf numFmtId="0" fontId="13" fillId="0" borderId="22" xfId="17" applyFont="1" applyBorder="1" applyAlignment="1"/>
    <xf numFmtId="0" fontId="13" fillId="0" borderId="0" xfId="17" applyFont="1" applyBorder="1"/>
    <xf numFmtId="0" fontId="2" fillId="0" borderId="22" xfId="17" applyBorder="1"/>
    <xf numFmtId="0" fontId="13" fillId="0" borderId="23" xfId="17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8" xfId="0" applyBorder="1"/>
    <xf numFmtId="0" fontId="0" fillId="0" borderId="14" xfId="0" applyBorder="1"/>
    <xf numFmtId="0" fontId="0" fillId="0" borderId="0" xfId="0" applyBorder="1"/>
    <xf numFmtId="0" fontId="0" fillId="0" borderId="19" xfId="0" applyBorder="1"/>
    <xf numFmtId="164" fontId="0" fillId="0" borderId="2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6" xfId="0" applyFont="1" applyBorder="1"/>
    <xf numFmtId="0" fontId="9" fillId="0" borderId="24" xfId="0" applyFont="1" applyBorder="1"/>
    <xf numFmtId="0" fontId="13" fillId="0" borderId="14" xfId="17" applyFont="1" applyBorder="1" applyAlignment="1"/>
    <xf numFmtId="0" fontId="0" fillId="0" borderId="16" xfId="0" applyBorder="1"/>
    <xf numFmtId="0" fontId="0" fillId="0" borderId="0" xfId="17" applyFont="1" applyBorder="1" applyAlignment="1">
      <alignment horizontal="center"/>
    </xf>
    <xf numFmtId="0" fontId="12" fillId="0" borderId="0" xfId="0" applyFont="1" applyAlignment="1" applyProtection="1">
      <alignment horizontal="center"/>
      <protection hidden="1"/>
    </xf>
    <xf numFmtId="0" fontId="13" fillId="0" borderId="15" xfId="0" applyFont="1" applyBorder="1" applyAlignment="1">
      <alignment horizontal="center" vertical="center"/>
    </xf>
    <xf numFmtId="0" fontId="13" fillId="0" borderId="0" xfId="0" applyFont="1"/>
    <xf numFmtId="0" fontId="13" fillId="0" borderId="17" xfId="0" applyFont="1" applyBorder="1"/>
    <xf numFmtId="0" fontId="14" fillId="0" borderId="0" xfId="0" applyFont="1"/>
    <xf numFmtId="0" fontId="13" fillId="0" borderId="0" xfId="0" applyFont="1" applyAlignment="1">
      <alignment horizontal="center"/>
    </xf>
    <xf numFmtId="0" fontId="14" fillId="0" borderId="19" xfId="0" applyFont="1" applyBorder="1"/>
    <xf numFmtId="0" fontId="13" fillId="0" borderId="20" xfId="0" applyFont="1" applyBorder="1"/>
    <xf numFmtId="0" fontId="0" fillId="0" borderId="0" xfId="17" applyFont="1"/>
    <xf numFmtId="0" fontId="13" fillId="0" borderId="19" xfId="0" applyFont="1" applyBorder="1" applyAlignment="1">
      <alignment horizontal="left"/>
    </xf>
    <xf numFmtId="0" fontId="9" fillId="0" borderId="13" xfId="17" applyFont="1" applyBorder="1" applyAlignment="1">
      <alignment horizontal="center"/>
    </xf>
    <xf numFmtId="0" fontId="9" fillId="0" borderId="14" xfId="17" applyFont="1" applyBorder="1" applyAlignment="1">
      <alignment horizontal="center"/>
    </xf>
    <xf numFmtId="0" fontId="13" fillId="2" borderId="13" xfId="17" applyFont="1" applyFill="1" applyBorder="1" applyAlignment="1">
      <alignment horizontal="center"/>
    </xf>
    <xf numFmtId="0" fontId="13" fillId="2" borderId="15" xfId="17" applyFont="1" applyFill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2" fillId="0" borderId="0" xfId="17" applyFont="1" applyAlignment="1">
      <alignment horizontal="center"/>
    </xf>
    <xf numFmtId="0" fontId="9" fillId="0" borderId="0" xfId="17" applyFont="1" applyAlignment="1">
      <alignment horizontal="center"/>
    </xf>
    <xf numFmtId="0" fontId="9" fillId="0" borderId="21" xfId="17" applyFont="1" applyBorder="1" applyAlignment="1">
      <alignment horizontal="center"/>
    </xf>
    <xf numFmtId="0" fontId="9" fillId="0" borderId="22" xfId="17" applyFont="1" applyBorder="1" applyAlignment="1">
      <alignment horizontal="center"/>
    </xf>
    <xf numFmtId="0" fontId="13" fillId="2" borderId="21" xfId="17" applyFont="1" applyFill="1" applyBorder="1" applyAlignment="1">
      <alignment horizontal="center"/>
    </xf>
    <xf numFmtId="0" fontId="13" fillId="2" borderId="23" xfId="17" applyFont="1" applyFill="1" applyBorder="1" applyAlignment="1">
      <alignment horizontal="center"/>
    </xf>
    <xf numFmtId="0" fontId="1" fillId="0" borderId="14" xfId="17" applyFont="1" applyBorder="1" applyAlignment="1">
      <alignment horizontal="center"/>
    </xf>
  </cellXfs>
  <cellStyles count="40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al" xfId="0" builtinId="0"/>
    <cellStyle name="Normaal 2" xfId="1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C3" sqref="C3"/>
    </sheetView>
  </sheetViews>
  <sheetFormatPr baseColWidth="10" defaultRowHeight="15" x14ac:dyDescent="0"/>
  <cols>
    <col min="1" max="1" width="15.5" customWidth="1"/>
    <col min="2" max="2" width="11.5" customWidth="1"/>
    <col min="3" max="5" width="12.6640625" customWidth="1"/>
    <col min="11" max="11" width="10.83203125" hidden="1" customWidth="1"/>
    <col min="12" max="12" width="17.1640625" hidden="1" customWidth="1"/>
  </cols>
  <sheetData>
    <row r="1" spans="1:12">
      <c r="A1" s="1" t="s">
        <v>59</v>
      </c>
      <c r="B1" s="2">
        <v>400</v>
      </c>
      <c r="C1" s="1"/>
      <c r="D1" s="1"/>
      <c r="E1" s="1"/>
      <c r="F1" s="1"/>
      <c r="G1" s="1"/>
    </row>
    <row r="2" spans="1:12">
      <c r="A2" s="1" t="s">
        <v>58</v>
      </c>
      <c r="B2" s="2" t="s">
        <v>2</v>
      </c>
      <c r="C2" s="3" t="s">
        <v>3</v>
      </c>
      <c r="D2" s="1" t="s">
        <v>4</v>
      </c>
      <c r="E2" s="1" t="s">
        <v>5</v>
      </c>
      <c r="F2" s="1"/>
      <c r="G2" s="1"/>
    </row>
    <row r="3" spans="1:12">
      <c r="A3" s="1" t="s">
        <v>57</v>
      </c>
      <c r="B3" s="4"/>
      <c r="C3" s="5"/>
      <c r="D3" s="1" t="s">
        <v>7</v>
      </c>
      <c r="E3" s="1" t="s">
        <v>8</v>
      </c>
      <c r="F3" s="1"/>
      <c r="G3" s="1"/>
      <c r="H3" s="6"/>
    </row>
    <row r="4" spans="1:12" ht="16" thickBot="1">
      <c r="A4" s="1" t="s">
        <v>56</v>
      </c>
      <c r="B4" s="2"/>
      <c r="C4" s="5"/>
      <c r="D4" s="1" t="s">
        <v>10</v>
      </c>
      <c r="E4" s="1" t="s">
        <v>11</v>
      </c>
      <c r="F4" s="1"/>
      <c r="G4" s="1"/>
      <c r="H4" s="7"/>
    </row>
    <row r="5" spans="1:12" ht="16" thickTop="1">
      <c r="A5" s="1"/>
      <c r="B5" s="1"/>
      <c r="C5" s="1"/>
      <c r="D5" s="1" t="s">
        <v>2</v>
      </c>
      <c r="E5" s="1" t="s">
        <v>12</v>
      </c>
      <c r="F5" s="1"/>
      <c r="G5" s="1"/>
      <c r="K5" s="8" t="s">
        <v>13</v>
      </c>
      <c r="L5" s="9">
        <v>6.5277777777777776E-5</v>
      </c>
    </row>
    <row r="6" spans="1:12">
      <c r="A6" s="1" t="s">
        <v>14</v>
      </c>
      <c r="B6" s="10" t="e">
        <f>B1/(B3*86400)</f>
        <v>#DIV/0!</v>
      </c>
      <c r="C6" s="1"/>
      <c r="D6" s="1"/>
      <c r="E6" s="1"/>
      <c r="F6" s="1"/>
      <c r="G6" s="1"/>
      <c r="K6" s="11"/>
      <c r="L6" s="12">
        <v>4.0856481481481478E-5</v>
      </c>
    </row>
    <row r="7" spans="1:12" ht="16" thickBot="1">
      <c r="A7" s="68" t="s">
        <v>60</v>
      </c>
      <c r="B7" s="1"/>
      <c r="C7" s="1"/>
      <c r="D7" s="1"/>
      <c r="E7" s="1"/>
      <c r="F7" s="1"/>
      <c r="G7" s="1"/>
      <c r="K7" s="11"/>
      <c r="L7" s="12">
        <v>2.2222222222222223E-5</v>
      </c>
    </row>
    <row r="8" spans="1:12" ht="17" thickTop="1" thickBot="1">
      <c r="A8" s="13" t="s">
        <v>61</v>
      </c>
      <c r="B8" s="14" t="s">
        <v>62</v>
      </c>
      <c r="C8" s="15" t="s">
        <v>15</v>
      </c>
      <c r="D8" s="16" t="s">
        <v>38</v>
      </c>
      <c r="E8" s="17" t="e">
        <f>($B$3*86400/($B$6-(($L$18/2*($B$4-B18)/1000)))*$B$6)/86400</f>
        <v>#DIV/0!</v>
      </c>
      <c r="F8" s="1"/>
      <c r="G8" s="1"/>
      <c r="K8" s="11"/>
      <c r="L8" s="12"/>
    </row>
    <row r="9" spans="1:12" ht="16" thickTop="1">
      <c r="A9" s="1"/>
      <c r="B9" s="1"/>
      <c r="C9" s="1"/>
      <c r="D9" s="1"/>
      <c r="E9" s="1"/>
      <c r="F9" s="1"/>
      <c r="G9" s="1"/>
      <c r="K9" s="11"/>
      <c r="L9" s="12"/>
    </row>
    <row r="10" spans="1:12">
      <c r="A10" s="1"/>
      <c r="B10" s="1" t="s">
        <v>16</v>
      </c>
      <c r="C10" s="1"/>
      <c r="D10" s="1"/>
      <c r="E10" s="1"/>
      <c r="F10" s="1"/>
      <c r="G10" s="1"/>
      <c r="K10" s="11"/>
      <c r="L10" s="12">
        <v>1.0185185185185185E-5</v>
      </c>
    </row>
    <row r="11" spans="1:12" ht="16" thickBot="1">
      <c r="A11" s="1"/>
      <c r="B11" s="1"/>
      <c r="C11" s="1"/>
      <c r="D11" s="1"/>
      <c r="E11" s="1"/>
      <c r="F11" s="1"/>
      <c r="G11" s="1"/>
      <c r="K11" s="11"/>
      <c r="L11" s="12">
        <v>1.1574074074074073E-7</v>
      </c>
    </row>
    <row r="12" spans="1:12" ht="17" thickTop="1" thickBot="1">
      <c r="A12" s="1"/>
      <c r="B12" s="18" t="s">
        <v>17</v>
      </c>
      <c r="C12" s="18" t="s">
        <v>18</v>
      </c>
      <c r="D12" s="18" t="s">
        <v>19</v>
      </c>
      <c r="E12" s="1"/>
      <c r="K12" s="19"/>
      <c r="L12" s="20">
        <v>9.7222222222222227E-6</v>
      </c>
    </row>
    <row r="13" spans="1:12" ht="17" thickTop="1" thickBot="1">
      <c r="A13" s="1"/>
      <c r="B13" s="21"/>
      <c r="C13" s="21"/>
      <c r="D13" s="21"/>
      <c r="E13" s="1"/>
    </row>
    <row r="14" spans="1:12" ht="16" thickTop="1">
      <c r="A14" s="1"/>
      <c r="B14" s="22">
        <v>1</v>
      </c>
      <c r="C14" s="23" t="e">
        <f t="shared" ref="C14:C32" si="0">$B$6-(($L$18/2*($B$4-B14)/1000))</f>
        <v>#DIV/0!</v>
      </c>
      <c r="D14" s="24" t="e">
        <f t="shared" ref="D14:D32" si="1">($B$3*86400/($B$6-(($L$18/2*($B$4-B14)/1000)))*$B$6)/86400</f>
        <v>#DIV/0!</v>
      </c>
      <c r="E14" s="1"/>
      <c r="K14" s="8" t="s">
        <v>4</v>
      </c>
      <c r="L14" s="25">
        <v>38.950000000000003</v>
      </c>
    </row>
    <row r="15" spans="1:12">
      <c r="A15" s="1"/>
      <c r="B15" s="22">
        <v>1.5</v>
      </c>
      <c r="C15" s="23" t="e">
        <f t="shared" si="0"/>
        <v>#DIV/0!</v>
      </c>
      <c r="D15" s="24" t="e">
        <f t="shared" si="1"/>
        <v>#DIV/0!</v>
      </c>
      <c r="E15" s="1"/>
      <c r="K15" s="11" t="s">
        <v>7</v>
      </c>
      <c r="L15" s="26">
        <v>34</v>
      </c>
    </row>
    <row r="16" spans="1:12">
      <c r="A16" s="1"/>
      <c r="B16" s="22">
        <v>2</v>
      </c>
      <c r="C16" s="23" t="e">
        <f t="shared" si="0"/>
        <v>#DIV/0!</v>
      </c>
      <c r="D16" s="24" t="e">
        <f t="shared" si="1"/>
        <v>#DIV/0!</v>
      </c>
      <c r="E16" s="1"/>
      <c r="K16" s="11" t="s">
        <v>10</v>
      </c>
      <c r="L16" s="26">
        <v>30.35</v>
      </c>
    </row>
    <row r="17" spans="1:12">
      <c r="A17" s="1"/>
      <c r="B17" s="22">
        <v>3</v>
      </c>
      <c r="C17" s="23" t="e">
        <f t="shared" si="0"/>
        <v>#DIV/0!</v>
      </c>
      <c r="D17" s="24" t="e">
        <f t="shared" si="1"/>
        <v>#DIV/0!</v>
      </c>
      <c r="E17" s="1"/>
      <c r="H17" s="27"/>
      <c r="J17" s="6"/>
      <c r="K17" s="28" t="s">
        <v>2</v>
      </c>
      <c r="L17" s="26">
        <v>35.76</v>
      </c>
    </row>
    <row r="18" spans="1:12" ht="16" thickBot="1">
      <c r="A18" s="1"/>
      <c r="B18" s="22">
        <v>4</v>
      </c>
      <c r="C18" s="23" t="e">
        <f t="shared" si="0"/>
        <v>#DIV/0!</v>
      </c>
      <c r="D18" s="24" t="e">
        <f t="shared" si="1"/>
        <v>#DIV/0!</v>
      </c>
      <c r="E18" s="1"/>
      <c r="H18" s="27"/>
      <c r="J18" s="6"/>
      <c r="K18" s="29" t="s">
        <v>20</v>
      </c>
      <c r="L18" s="30">
        <f>VLOOKUP(B2,K14:L17,2,FALSE)</f>
        <v>35.76</v>
      </c>
    </row>
    <row r="19" spans="1:12" ht="17" thickTop="1" thickBot="1">
      <c r="A19" s="1"/>
      <c r="B19" s="22">
        <v>5</v>
      </c>
      <c r="C19" s="23" t="e">
        <f t="shared" si="0"/>
        <v>#DIV/0!</v>
      </c>
      <c r="D19" s="24" t="e">
        <f t="shared" si="1"/>
        <v>#DIV/0!</v>
      </c>
      <c r="E19" s="1"/>
      <c r="H19" s="27"/>
      <c r="J19" s="6"/>
      <c r="K19" s="7"/>
      <c r="L19" s="6"/>
    </row>
    <row r="20" spans="1:12" ht="16" thickTop="1">
      <c r="A20" s="1"/>
      <c r="B20" s="22">
        <v>6</v>
      </c>
      <c r="C20" s="23" t="e">
        <f t="shared" si="0"/>
        <v>#DIV/0!</v>
      </c>
      <c r="D20" s="24" t="e">
        <f t="shared" si="1"/>
        <v>#DIV/0!</v>
      </c>
      <c r="E20" s="1"/>
      <c r="F20" s="1"/>
      <c r="G20" s="1"/>
      <c r="H20" s="27"/>
      <c r="J20" s="6"/>
      <c r="K20" s="31" t="s">
        <v>21</v>
      </c>
      <c r="L20" s="32"/>
    </row>
    <row r="21" spans="1:12">
      <c r="A21" s="1"/>
      <c r="B21" s="22">
        <v>7</v>
      </c>
      <c r="C21" s="23" t="e">
        <f t="shared" si="0"/>
        <v>#DIV/0!</v>
      </c>
      <c r="D21" s="24" t="e">
        <f t="shared" si="1"/>
        <v>#DIV/0!</v>
      </c>
      <c r="E21" s="1"/>
      <c r="F21" s="1"/>
      <c r="G21" s="1"/>
      <c r="H21" s="27"/>
      <c r="J21" s="6"/>
      <c r="K21" s="33"/>
      <c r="L21" s="34"/>
    </row>
    <row r="22" spans="1:12">
      <c r="A22" s="1"/>
      <c r="B22" s="22">
        <v>8</v>
      </c>
      <c r="C22" s="23" t="e">
        <f t="shared" si="0"/>
        <v>#DIV/0!</v>
      </c>
      <c r="D22" s="24" t="e">
        <f t="shared" si="1"/>
        <v>#DIV/0!</v>
      </c>
      <c r="E22" s="1"/>
      <c r="F22" s="1"/>
      <c r="G22" s="1"/>
      <c r="H22" s="27"/>
      <c r="J22" s="6"/>
      <c r="K22" s="35">
        <v>1</v>
      </c>
      <c r="L22" s="36" t="e">
        <f>(($B$3*86400/($B$6-(($L$18/2*($B$4-B14)/1000)))*$B$6)/86400)/4+L5</f>
        <v>#DIV/0!</v>
      </c>
    </row>
    <row r="23" spans="1:12">
      <c r="A23" s="1"/>
      <c r="B23" s="22">
        <v>9</v>
      </c>
      <c r="C23" s="23" t="e">
        <f t="shared" si="0"/>
        <v>#DIV/0!</v>
      </c>
      <c r="D23" s="24" t="e">
        <f t="shared" si="1"/>
        <v>#DIV/0!</v>
      </c>
      <c r="E23" s="1"/>
      <c r="F23" s="1"/>
      <c r="G23" s="1"/>
      <c r="H23" s="27"/>
      <c r="K23" s="35">
        <v>1.5</v>
      </c>
      <c r="L23" s="36" t="e">
        <f>(($B$3*86400/($B$6-(($L$18/2*($B$4-B15)/1000)))*$B$6)/86400)/4+L6</f>
        <v>#DIV/0!</v>
      </c>
    </row>
    <row r="24" spans="1:12">
      <c r="A24" s="1"/>
      <c r="B24" s="22">
        <v>10</v>
      </c>
      <c r="C24" s="23" t="e">
        <f t="shared" si="0"/>
        <v>#DIV/0!</v>
      </c>
      <c r="D24" s="24" t="e">
        <f t="shared" si="1"/>
        <v>#DIV/0!</v>
      </c>
      <c r="E24" s="1"/>
      <c r="F24" s="1"/>
      <c r="G24" s="1"/>
      <c r="H24" s="27"/>
      <c r="K24" s="35">
        <v>2</v>
      </c>
      <c r="L24" s="36" t="e">
        <f>(($B$3*86400/($B$6-(($L$18/2*($B$4-B16)/1000)))*$B$6)/86400)/4+L7</f>
        <v>#DIV/0!</v>
      </c>
    </row>
    <row r="25" spans="1:12">
      <c r="A25" s="1"/>
      <c r="B25" s="22">
        <v>11</v>
      </c>
      <c r="C25" s="23" t="e">
        <f t="shared" si="0"/>
        <v>#DIV/0!</v>
      </c>
      <c r="D25" s="24" t="e">
        <f t="shared" si="1"/>
        <v>#DIV/0!</v>
      </c>
      <c r="E25" s="1"/>
      <c r="F25" s="1"/>
      <c r="G25" s="1"/>
      <c r="H25" s="27"/>
      <c r="K25" s="35">
        <v>3</v>
      </c>
      <c r="L25" s="36" t="e">
        <f>(($B$3*86400/($B$6-(($L$18/2*($B$4-B17)/1000)))*$B$6)/86400)/4+L10</f>
        <v>#DIV/0!</v>
      </c>
    </row>
    <row r="26" spans="1:12">
      <c r="A26" s="1"/>
      <c r="B26" s="22">
        <v>12</v>
      </c>
      <c r="C26" s="23" t="e">
        <f t="shared" si="0"/>
        <v>#DIV/0!</v>
      </c>
      <c r="D26" s="24" t="e">
        <f t="shared" si="1"/>
        <v>#DIV/0!</v>
      </c>
      <c r="E26" s="1"/>
      <c r="F26" s="1"/>
      <c r="G26" s="1"/>
      <c r="H26" s="27"/>
      <c r="K26" s="35">
        <v>4</v>
      </c>
      <c r="L26" s="36" t="e">
        <f>(($B$3*86400/($B$6-(($L$18/2*($B$4-B18)/1000)))*$B$6)/86400)/4-L11</f>
        <v>#DIV/0!</v>
      </c>
    </row>
    <row r="27" spans="1:12" ht="16" thickBot="1">
      <c r="A27" s="1"/>
      <c r="B27" s="22">
        <v>13</v>
      </c>
      <c r="C27" s="23" t="e">
        <f t="shared" si="0"/>
        <v>#DIV/0!</v>
      </c>
      <c r="D27" s="24" t="e">
        <f t="shared" si="1"/>
        <v>#DIV/0!</v>
      </c>
      <c r="E27" s="1"/>
      <c r="F27" s="1"/>
      <c r="G27" s="1"/>
      <c r="H27" s="27"/>
      <c r="K27" s="37">
        <v>5</v>
      </c>
      <c r="L27" s="38" t="e">
        <f>(($B$3*86400/($B$6-(($L$18/2*($B$4-B19)/1000)))*$B$6)/86400)/4-L12</f>
        <v>#DIV/0!</v>
      </c>
    </row>
    <row r="28" spans="1:12" ht="16" thickTop="1">
      <c r="A28" s="1"/>
      <c r="B28" s="22">
        <v>14</v>
      </c>
      <c r="C28" s="23" t="e">
        <f t="shared" si="0"/>
        <v>#DIV/0!</v>
      </c>
      <c r="D28" s="24" t="e">
        <f t="shared" si="1"/>
        <v>#DIV/0!</v>
      </c>
      <c r="E28" s="1"/>
      <c r="F28" s="1"/>
      <c r="G28" s="1"/>
      <c r="H28" s="27"/>
    </row>
    <row r="29" spans="1:12">
      <c r="A29" s="1"/>
      <c r="B29" s="22">
        <v>15</v>
      </c>
      <c r="C29" s="23" t="e">
        <f t="shared" si="0"/>
        <v>#DIV/0!</v>
      </c>
      <c r="D29" s="24" t="e">
        <f t="shared" si="1"/>
        <v>#DIV/0!</v>
      </c>
      <c r="E29" s="1"/>
      <c r="F29" s="1"/>
      <c r="G29" s="1"/>
      <c r="H29" s="27"/>
    </row>
    <row r="30" spans="1:12">
      <c r="A30" s="1"/>
      <c r="B30" s="22">
        <v>16</v>
      </c>
      <c r="C30" s="23" t="e">
        <f t="shared" si="0"/>
        <v>#DIV/0!</v>
      </c>
      <c r="D30" s="24" t="e">
        <f t="shared" si="1"/>
        <v>#DIV/0!</v>
      </c>
      <c r="E30" s="1"/>
      <c r="F30" s="1"/>
      <c r="G30" s="1"/>
      <c r="H30" s="27"/>
    </row>
    <row r="31" spans="1:12">
      <c r="A31" s="1"/>
      <c r="B31" s="22">
        <v>17</v>
      </c>
      <c r="C31" s="23" t="e">
        <f t="shared" si="0"/>
        <v>#DIV/0!</v>
      </c>
      <c r="D31" s="24" t="e">
        <f t="shared" si="1"/>
        <v>#DIV/0!</v>
      </c>
      <c r="E31" s="1"/>
      <c r="F31" s="1"/>
      <c r="G31" s="1"/>
      <c r="H31" s="27"/>
    </row>
    <row r="32" spans="1:12" ht="16" thickBot="1">
      <c r="A32" s="1"/>
      <c r="B32" s="21">
        <v>18</v>
      </c>
      <c r="C32" s="39" t="e">
        <f t="shared" si="0"/>
        <v>#DIV/0!</v>
      </c>
      <c r="D32" s="40" t="e">
        <f t="shared" si="1"/>
        <v>#DIV/0!</v>
      </c>
      <c r="E32" s="1"/>
      <c r="F32" s="1"/>
      <c r="G32" s="1"/>
      <c r="H32" s="27"/>
    </row>
    <row r="33" spans="1:8" ht="17" thickTop="1" thickBot="1">
      <c r="H33" s="27"/>
    </row>
    <row r="34" spans="1:8" ht="16" thickTop="1">
      <c r="A34" s="8"/>
      <c r="B34" s="41"/>
      <c r="C34" s="42" t="s">
        <v>22</v>
      </c>
      <c r="D34" s="43"/>
      <c r="E34" s="43"/>
      <c r="F34" s="43"/>
      <c r="G34" s="43"/>
      <c r="H34" s="44" t="s">
        <v>23</v>
      </c>
    </row>
    <row r="35" spans="1:8" ht="16" thickBot="1">
      <c r="A35" s="19" t="s">
        <v>24</v>
      </c>
      <c r="B35" s="45"/>
      <c r="C35" s="46" t="s">
        <v>25</v>
      </c>
      <c r="D35" s="47" t="s">
        <v>26</v>
      </c>
      <c r="E35" s="47" t="s">
        <v>27</v>
      </c>
      <c r="F35" s="47" t="s">
        <v>28</v>
      </c>
      <c r="G35" s="47" t="s">
        <v>29</v>
      </c>
      <c r="H35" s="48" t="s">
        <v>30</v>
      </c>
    </row>
    <row r="36" spans="1:8" ht="16" thickTop="1">
      <c r="A36" s="11" t="s">
        <v>31</v>
      </c>
      <c r="B36" s="49" t="s">
        <v>32</v>
      </c>
      <c r="C36" s="50" t="e">
        <f>C38*0.9354</f>
        <v>#DIV/0!</v>
      </c>
      <c r="D36" s="51" t="e">
        <f>D38*0.9335</f>
        <v>#DIV/0!</v>
      </c>
      <c r="E36" s="51" t="e">
        <f>E38*0.9313</f>
        <v>#DIV/0!</v>
      </c>
      <c r="F36" s="51" t="e">
        <f>F38*0.9483</f>
        <v>#DIV/0!</v>
      </c>
      <c r="G36" s="51" t="e">
        <f>G38*0.9465</f>
        <v>#DIV/0!</v>
      </c>
      <c r="H36" s="51" t="e">
        <f>H38*0.9495</f>
        <v>#DIV/0!</v>
      </c>
    </row>
    <row r="37" spans="1:8">
      <c r="A37" s="11"/>
      <c r="B37" s="49" t="s">
        <v>33</v>
      </c>
      <c r="C37" s="50" t="e">
        <f>C38*0.9167</f>
        <v>#DIV/0!</v>
      </c>
      <c r="D37" s="51" t="e">
        <f>D38*0.9142</f>
        <v>#DIV/0!</v>
      </c>
      <c r="E37" s="51" t="e">
        <f>E38*0.9118</f>
        <v>#DIV/0!</v>
      </c>
      <c r="F37" s="51" t="e">
        <f>F38*0.9243</f>
        <v>#DIV/0!</v>
      </c>
      <c r="G37" s="51" t="e">
        <f>G38*0.9232</f>
        <v>#DIV/0!</v>
      </c>
      <c r="H37" s="51" t="e">
        <f>H38*0.9237</f>
        <v>#DIV/0!</v>
      </c>
    </row>
    <row r="38" spans="1:8">
      <c r="A38" s="11"/>
      <c r="B38" s="49" t="s">
        <v>34</v>
      </c>
      <c r="C38" s="50" t="e">
        <f>L22</f>
        <v>#DIV/0!</v>
      </c>
      <c r="D38" s="51" t="e">
        <f>L23</f>
        <v>#DIV/0!</v>
      </c>
      <c r="E38" s="51" t="e">
        <f>L24</f>
        <v>#DIV/0!</v>
      </c>
      <c r="F38" s="51" t="e">
        <f>L25</f>
        <v>#DIV/0!</v>
      </c>
      <c r="G38" s="51" t="e">
        <f>L26</f>
        <v>#DIV/0!</v>
      </c>
      <c r="H38" s="51" t="e">
        <f>L27</f>
        <v>#DIV/0!</v>
      </c>
    </row>
    <row r="39" spans="1:8">
      <c r="A39" s="11"/>
      <c r="B39" s="49"/>
      <c r="C39" s="52"/>
      <c r="D39" s="53"/>
      <c r="E39" s="53"/>
      <c r="F39" s="53"/>
      <c r="G39" s="53"/>
      <c r="H39" s="53"/>
    </row>
    <row r="40" spans="1:8">
      <c r="A40" s="11" t="s">
        <v>35</v>
      </c>
      <c r="B40" s="49" t="s">
        <v>32</v>
      </c>
      <c r="C40" s="50" t="e">
        <f>C38*1.9143</f>
        <v>#DIV/0!</v>
      </c>
      <c r="D40" s="51" t="e">
        <f>D38*1.9119</f>
        <v>#DIV/0!</v>
      </c>
      <c r="E40" s="51" t="e">
        <f>E38*1.9082</f>
        <v>#DIV/0!</v>
      </c>
      <c r="F40" s="51" t="e">
        <f>F38*1.9293</f>
        <v>#DIV/0!</v>
      </c>
      <c r="G40" s="51" t="e">
        <f>G38*1.9418</f>
        <v>#DIV/0!</v>
      </c>
      <c r="H40" s="51" t="e">
        <f>H38*1.9456</f>
        <v>#DIV/0!</v>
      </c>
    </row>
    <row r="41" spans="1:8">
      <c r="A41" s="11"/>
      <c r="B41" s="49" t="s">
        <v>33</v>
      </c>
      <c r="C41" s="50" t="e">
        <f>C38*1.8911</f>
        <v>#DIV/0!</v>
      </c>
      <c r="D41" s="51" t="e">
        <f>D38*1.8878</f>
        <v>#DIV/0!</v>
      </c>
      <c r="E41" s="51" t="e">
        <f>E38*1.8841</f>
        <v>#DIV/0!</v>
      </c>
      <c r="F41" s="51" t="e">
        <f>F38*1.9067</f>
        <v>#DIV/0!</v>
      </c>
      <c r="G41" s="51" t="e">
        <f>G38*1.8991</f>
        <v>#DIV/0!</v>
      </c>
      <c r="H41" s="51" t="e">
        <f>H38*1.9186</f>
        <v>#DIV/0!</v>
      </c>
    </row>
    <row r="42" spans="1:8">
      <c r="A42" s="11"/>
      <c r="B42" s="49"/>
      <c r="C42" s="52"/>
      <c r="D42" s="53"/>
      <c r="E42" s="53"/>
      <c r="F42" s="53"/>
      <c r="G42" s="53"/>
      <c r="H42" s="53"/>
    </row>
    <row r="43" spans="1:8">
      <c r="A43" s="11" t="s">
        <v>36</v>
      </c>
      <c r="B43" s="49" t="s">
        <v>32</v>
      </c>
      <c r="C43" s="50" t="e">
        <f>C38*3.8806</f>
        <v>#DIV/0!</v>
      </c>
      <c r="D43" s="51" t="e">
        <f>D38*3.8766</f>
        <v>#DIV/0!</v>
      </c>
      <c r="E43" s="51" t="e">
        <f>E38*3.872</f>
        <v>#DIV/0!</v>
      </c>
      <c r="F43" s="51" t="e">
        <f>F38*3.938</f>
        <v>#DIV/0!</v>
      </c>
      <c r="G43" s="51" t="e">
        <f>G38*3.961</f>
        <v>#DIV/0!</v>
      </c>
      <c r="H43" s="51" t="e">
        <f>H38*3.9862</f>
        <v>#DIV/0!</v>
      </c>
    </row>
    <row r="44" spans="1:8" ht="16" thickBot="1">
      <c r="A44" s="19"/>
      <c r="B44" s="45" t="s">
        <v>33</v>
      </c>
      <c r="C44" s="54" t="e">
        <f>C38*3.8656</f>
        <v>#DIV/0!</v>
      </c>
      <c r="D44" s="48" t="e">
        <f>D38*3.8613</f>
        <v>#DIV/0!</v>
      </c>
      <c r="E44" s="48" t="e">
        <f>E38*3.8563</f>
        <v>#DIV/0!</v>
      </c>
      <c r="F44" s="48" t="e">
        <f>F38*3.8797</f>
        <v>#DIV/0!</v>
      </c>
      <c r="G44" s="48" t="e">
        <f>G38*3.911</f>
        <v>#DIV/0!</v>
      </c>
      <c r="H44" s="48" t="e">
        <f>H38*3.9362</f>
        <v>#DIV/0!</v>
      </c>
    </row>
    <row r="45" spans="1:8" ht="16" thickTop="1"/>
  </sheetData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B4" sqref="B4"/>
    </sheetView>
  </sheetViews>
  <sheetFormatPr baseColWidth="10" defaultRowHeight="15" x14ac:dyDescent="0"/>
  <cols>
    <col min="1" max="1" width="15.5" customWidth="1"/>
    <col min="2" max="2" width="11.5" customWidth="1"/>
    <col min="4" max="4" width="12.6640625" customWidth="1"/>
    <col min="5" max="5" width="13.5" customWidth="1"/>
    <col min="6" max="6" width="12.6640625" customWidth="1"/>
    <col min="11" max="11" width="10.6640625" customWidth="1"/>
    <col min="12" max="12" width="10.83203125" customWidth="1"/>
  </cols>
  <sheetData>
    <row r="1" spans="1:13">
      <c r="A1" s="1" t="s">
        <v>0</v>
      </c>
      <c r="B1" s="2">
        <v>200</v>
      </c>
      <c r="C1" s="1"/>
      <c r="D1" s="1"/>
      <c r="E1" s="1"/>
      <c r="F1" s="1"/>
      <c r="G1" s="1"/>
    </row>
    <row r="2" spans="1:13">
      <c r="A2" s="1" t="s">
        <v>1</v>
      </c>
      <c r="B2" s="2" t="s">
        <v>2</v>
      </c>
      <c r="C2" s="3" t="s">
        <v>3</v>
      </c>
      <c r="D2" s="1" t="s">
        <v>4</v>
      </c>
      <c r="E2" s="1" t="s">
        <v>5</v>
      </c>
      <c r="F2" s="1"/>
      <c r="G2" s="1"/>
    </row>
    <row r="3" spans="1:13">
      <c r="A3" s="1" t="s">
        <v>6</v>
      </c>
      <c r="B3" s="4"/>
      <c r="C3" s="5"/>
      <c r="D3" s="1" t="s">
        <v>7</v>
      </c>
      <c r="E3" s="1" t="s">
        <v>8</v>
      </c>
      <c r="F3" s="1" t="s">
        <v>37</v>
      </c>
      <c r="G3" s="1"/>
      <c r="H3" s="6"/>
    </row>
    <row r="4" spans="1:13" ht="16" thickBot="1">
      <c r="A4" s="1" t="s">
        <v>9</v>
      </c>
      <c r="B4" s="2"/>
      <c r="C4" s="5"/>
      <c r="D4" s="1" t="s">
        <v>10</v>
      </c>
      <c r="E4" s="1" t="s">
        <v>11</v>
      </c>
      <c r="F4" s="1"/>
      <c r="G4" s="1"/>
      <c r="H4" s="7"/>
    </row>
    <row r="5" spans="1:13" ht="16" thickTop="1">
      <c r="A5" s="1"/>
      <c r="B5" s="1"/>
      <c r="C5" s="1"/>
      <c r="D5" s="1" t="s">
        <v>2</v>
      </c>
      <c r="E5" s="1" t="s">
        <v>12</v>
      </c>
      <c r="F5" s="1" t="s">
        <v>37</v>
      </c>
      <c r="G5" s="1"/>
      <c r="K5" s="8" t="s">
        <v>4</v>
      </c>
      <c r="L5" s="25">
        <v>38.950000000000003</v>
      </c>
    </row>
    <row r="6" spans="1:13">
      <c r="A6" s="1" t="s">
        <v>14</v>
      </c>
      <c r="B6" s="10" t="e">
        <f>B1/(B3*86400)</f>
        <v>#DIV/0!</v>
      </c>
      <c r="C6" s="1"/>
      <c r="D6" s="1"/>
      <c r="E6" s="1"/>
      <c r="F6" s="1"/>
      <c r="G6" s="1"/>
      <c r="K6" s="11" t="s">
        <v>7</v>
      </c>
      <c r="L6" s="26">
        <v>34</v>
      </c>
    </row>
    <row r="7" spans="1:13" ht="19" thickBot="1">
      <c r="A7" s="120" t="str">
        <f>'Lactaat Calculation'!A7</f>
        <v>Name</v>
      </c>
      <c r="B7" s="1"/>
      <c r="C7" s="1"/>
      <c r="D7" s="1"/>
      <c r="E7" s="1"/>
      <c r="F7" s="1"/>
      <c r="G7" s="1"/>
      <c r="K7" s="11" t="s">
        <v>10</v>
      </c>
      <c r="L7" s="26">
        <v>28.9</v>
      </c>
    </row>
    <row r="8" spans="1:13" ht="17" thickTop="1" thickBot="1">
      <c r="A8" s="13" t="str">
        <f>'Lactaat Calculation'!A8</f>
        <v>First Name</v>
      </c>
      <c r="B8" s="14" t="str">
        <f>'Lactaat Calculation'!B8</f>
        <v>Date</v>
      </c>
      <c r="C8" s="15" t="s">
        <v>15</v>
      </c>
      <c r="D8" s="16" t="s">
        <v>38</v>
      </c>
      <c r="E8" s="17" t="e">
        <f>($B$3*86400/($B$6-(($L$9/1.938*($B$4-B18)/1000)))*$B$6)/86400</f>
        <v>#DIV/0!</v>
      </c>
      <c r="F8" s="1"/>
      <c r="G8" s="1"/>
      <c r="J8" s="6"/>
      <c r="K8" s="28" t="s">
        <v>2</v>
      </c>
      <c r="L8" s="26">
        <v>35.76</v>
      </c>
      <c r="M8" s="6"/>
    </row>
    <row r="9" spans="1:13" ht="17" thickTop="1" thickBot="1">
      <c r="A9" s="1"/>
      <c r="B9" s="1"/>
      <c r="C9" s="1"/>
      <c r="D9" s="1"/>
      <c r="E9" s="1"/>
      <c r="F9" s="1"/>
      <c r="G9" s="1"/>
      <c r="J9" s="6"/>
      <c r="K9" s="29" t="s">
        <v>20</v>
      </c>
      <c r="L9" s="30">
        <f>VLOOKUP(B2,K5:L8,2,FALSE)</f>
        <v>35.76</v>
      </c>
      <c r="M9" s="6"/>
    </row>
    <row r="10" spans="1:13" ht="16" thickTop="1">
      <c r="A10" s="1"/>
      <c r="B10" s="1" t="s">
        <v>16</v>
      </c>
      <c r="C10" s="1"/>
      <c r="D10" s="1"/>
      <c r="E10" s="1"/>
      <c r="F10" s="1"/>
      <c r="G10" s="1"/>
      <c r="J10" s="6"/>
      <c r="K10" s="7"/>
      <c r="L10" s="6"/>
      <c r="M10" s="6"/>
    </row>
    <row r="11" spans="1:13" ht="16" thickBot="1">
      <c r="A11" s="1"/>
      <c r="B11" s="1"/>
      <c r="C11" s="1"/>
      <c r="D11" s="1"/>
      <c r="E11" s="1"/>
      <c r="F11" s="1"/>
      <c r="G11" s="1"/>
    </row>
    <row r="12" spans="1:13" ht="16" thickTop="1">
      <c r="A12" s="1"/>
      <c r="B12" s="18" t="s">
        <v>17</v>
      </c>
      <c r="C12" s="18" t="s">
        <v>18</v>
      </c>
      <c r="D12" s="18" t="s">
        <v>19</v>
      </c>
      <c r="E12" s="1"/>
      <c r="K12" s="8" t="s">
        <v>13</v>
      </c>
      <c r="L12" s="9">
        <v>5.1157407407407416E-5</v>
      </c>
    </row>
    <row r="13" spans="1:13" ht="16" thickBot="1">
      <c r="A13" s="1"/>
      <c r="B13" s="21"/>
      <c r="C13" s="21"/>
      <c r="D13" s="21"/>
      <c r="E13" s="1"/>
      <c r="K13" s="11"/>
      <c r="L13" s="12">
        <v>4.398148148148148E-5</v>
      </c>
    </row>
    <row r="14" spans="1:13" ht="16" thickTop="1">
      <c r="A14" s="1"/>
      <c r="B14" s="22">
        <v>1</v>
      </c>
      <c r="C14" s="23" t="e">
        <f t="shared" ref="C14:C32" si="0">$B$6-(($L$9/1.938*($B$4-B14)/1000))</f>
        <v>#DIV/0!</v>
      </c>
      <c r="D14" s="24" t="e">
        <f t="shared" ref="D14:D32" si="1">($B$3*86400/($B$6-(($L$9/1.938*($B$4-B14)/1000)))*$B$6)/86400</f>
        <v>#DIV/0!</v>
      </c>
      <c r="E14" s="1"/>
      <c r="K14" s="11"/>
      <c r="L14" s="12">
        <v>3.7037037037037037E-5</v>
      </c>
    </row>
    <row r="15" spans="1:13">
      <c r="A15" s="1"/>
      <c r="B15" s="22">
        <v>1.5</v>
      </c>
      <c r="C15" s="23" t="e">
        <f>$B$6-(($L$9/1.938*($B$4-B15)/1000))</f>
        <v>#DIV/0!</v>
      </c>
      <c r="D15" s="24" t="e">
        <f t="shared" si="1"/>
        <v>#DIV/0!</v>
      </c>
      <c r="E15" s="1"/>
      <c r="K15" s="11"/>
      <c r="L15" s="12"/>
    </row>
    <row r="16" spans="1:13">
      <c r="A16" s="1"/>
      <c r="B16" s="22">
        <v>2</v>
      </c>
      <c r="C16" s="23" t="e">
        <f t="shared" si="0"/>
        <v>#DIV/0!</v>
      </c>
      <c r="D16" s="24" t="e">
        <f t="shared" si="1"/>
        <v>#DIV/0!</v>
      </c>
      <c r="E16" s="1"/>
      <c r="K16" s="11"/>
      <c r="L16" s="12"/>
    </row>
    <row r="17" spans="1:12">
      <c r="A17" s="1"/>
      <c r="B17" s="22">
        <v>3</v>
      </c>
      <c r="C17" s="23" t="e">
        <f t="shared" si="0"/>
        <v>#DIV/0!</v>
      </c>
      <c r="D17" s="24" t="e">
        <f t="shared" si="1"/>
        <v>#DIV/0!</v>
      </c>
      <c r="E17" s="1"/>
      <c r="H17" s="27"/>
      <c r="K17" s="11"/>
      <c r="L17" s="12">
        <v>2.6620370370370369E-5</v>
      </c>
    </row>
    <row r="18" spans="1:12">
      <c r="A18" s="1"/>
      <c r="B18" s="22">
        <v>4</v>
      </c>
      <c r="C18" s="23" t="e">
        <f>$B$6-(($L$9/1.938*($B$4-B18)/1000))</f>
        <v>#DIV/0!</v>
      </c>
      <c r="D18" s="24" t="e">
        <f>($B$3*86400/($B$6-(($L$9/1.938*($B$4-B18)/1000)))*$B$6)/86400</f>
        <v>#DIV/0!</v>
      </c>
      <c r="E18" s="1"/>
      <c r="H18" s="27"/>
      <c r="K18" s="11"/>
      <c r="L18" s="12">
        <v>2.199074074074074E-5</v>
      </c>
    </row>
    <row r="19" spans="1:12" ht="16" thickBot="1">
      <c r="A19" s="1"/>
      <c r="B19" s="22">
        <v>5</v>
      </c>
      <c r="C19" s="23" t="e">
        <f t="shared" si="0"/>
        <v>#DIV/0!</v>
      </c>
      <c r="D19" s="24" t="e">
        <f t="shared" si="1"/>
        <v>#DIV/0!</v>
      </c>
      <c r="E19" s="1"/>
      <c r="H19" s="27"/>
      <c r="K19" s="19"/>
      <c r="L19" s="20">
        <v>1.6203703703703704E-5</v>
      </c>
    </row>
    <row r="20" spans="1:12" ht="16" thickTop="1">
      <c r="A20" s="1"/>
      <c r="B20" s="22">
        <v>6</v>
      </c>
      <c r="C20" s="23" t="e">
        <f t="shared" si="0"/>
        <v>#DIV/0!</v>
      </c>
      <c r="D20" s="24" t="e">
        <f t="shared" si="1"/>
        <v>#DIV/0!</v>
      </c>
      <c r="E20" s="1"/>
      <c r="F20" s="1"/>
      <c r="G20" s="1"/>
      <c r="H20" s="27"/>
    </row>
    <row r="21" spans="1:12" ht="16" thickBot="1">
      <c r="A21" s="1"/>
      <c r="B21" s="22">
        <v>7</v>
      </c>
      <c r="C21" s="23" t="e">
        <f t="shared" si="0"/>
        <v>#DIV/0!</v>
      </c>
      <c r="D21" s="24" t="e">
        <f t="shared" si="1"/>
        <v>#DIV/0!</v>
      </c>
      <c r="E21" s="1"/>
      <c r="F21" s="1"/>
      <c r="G21" s="1"/>
      <c r="H21" s="27"/>
    </row>
    <row r="22" spans="1:12" ht="16" thickTop="1">
      <c r="A22" s="1"/>
      <c r="B22" s="22">
        <v>8</v>
      </c>
      <c r="C22" s="23" t="e">
        <f t="shared" si="0"/>
        <v>#DIV/0!</v>
      </c>
      <c r="D22" s="24" t="e">
        <f t="shared" si="1"/>
        <v>#DIV/0!</v>
      </c>
      <c r="E22" s="1"/>
      <c r="F22" s="1"/>
      <c r="G22" s="1"/>
      <c r="H22" s="27"/>
      <c r="K22" s="31" t="s">
        <v>21</v>
      </c>
      <c r="L22" s="32"/>
    </row>
    <row r="23" spans="1:12">
      <c r="A23" s="1"/>
      <c r="B23" s="22">
        <v>9</v>
      </c>
      <c r="C23" s="23" t="e">
        <f t="shared" si="0"/>
        <v>#DIV/0!</v>
      </c>
      <c r="D23" s="24" t="e">
        <f t="shared" si="1"/>
        <v>#DIV/0!</v>
      </c>
      <c r="E23" s="1"/>
      <c r="F23" s="1"/>
      <c r="G23" s="1"/>
      <c r="H23" s="27"/>
      <c r="K23" s="33"/>
      <c r="L23" s="34"/>
    </row>
    <row r="24" spans="1:12">
      <c r="A24" s="1"/>
      <c r="B24" s="22">
        <v>10</v>
      </c>
      <c r="C24" s="23" t="e">
        <f t="shared" si="0"/>
        <v>#DIV/0!</v>
      </c>
      <c r="D24" s="24" t="e">
        <f t="shared" si="1"/>
        <v>#DIV/0!</v>
      </c>
      <c r="E24" s="1"/>
      <c r="F24" s="1"/>
      <c r="G24" s="1"/>
      <c r="H24" s="27"/>
      <c r="K24" s="35">
        <v>1</v>
      </c>
      <c r="L24" s="36" t="e">
        <f>((($B$3*86400/($B$6-(($L$9/2*($B$4-B16)/1000)))*$B$6)/86400)/4+L12)*2</f>
        <v>#DIV/0!</v>
      </c>
    </row>
    <row r="25" spans="1:12">
      <c r="A25" s="1"/>
      <c r="B25" s="22">
        <v>11</v>
      </c>
      <c r="C25" s="23" t="e">
        <f t="shared" si="0"/>
        <v>#DIV/0!</v>
      </c>
      <c r="D25" s="24" t="e">
        <f t="shared" si="1"/>
        <v>#DIV/0!</v>
      </c>
      <c r="E25" s="1"/>
      <c r="F25" s="1"/>
      <c r="G25" s="1"/>
      <c r="H25" s="27"/>
      <c r="K25" s="35">
        <v>1.5</v>
      </c>
      <c r="L25" s="36" t="e">
        <f>((($B$3*86400/($B$6-(($L$9/2*($B$4-B17)/1000)))*$B$6)/86400)/4+L13)*2</f>
        <v>#DIV/0!</v>
      </c>
    </row>
    <row r="26" spans="1:12">
      <c r="A26" s="1"/>
      <c r="B26" s="22">
        <v>12</v>
      </c>
      <c r="C26" s="23" t="e">
        <f t="shared" si="0"/>
        <v>#DIV/0!</v>
      </c>
      <c r="D26" s="24" t="e">
        <f t="shared" si="1"/>
        <v>#DIV/0!</v>
      </c>
      <c r="E26" s="1"/>
      <c r="F26" s="1"/>
      <c r="G26" s="1"/>
      <c r="H26" s="27"/>
      <c r="K26" s="35">
        <v>2</v>
      </c>
      <c r="L26" s="36" t="e">
        <f>((($B$3*86400/($B$6-(($L$9/2*($B$4-B18)/1000)))*$B$6)/86400)/4+L14)*2</f>
        <v>#DIV/0!</v>
      </c>
    </row>
    <row r="27" spans="1:12">
      <c r="A27" s="1"/>
      <c r="B27" s="22">
        <v>13</v>
      </c>
      <c r="C27" s="23" t="e">
        <f t="shared" si="0"/>
        <v>#DIV/0!</v>
      </c>
      <c r="D27" s="24" t="e">
        <f t="shared" si="1"/>
        <v>#DIV/0!</v>
      </c>
      <c r="E27" s="1"/>
      <c r="F27" s="1"/>
      <c r="G27" s="1"/>
      <c r="H27" s="27"/>
      <c r="K27" s="35">
        <v>3</v>
      </c>
      <c r="L27" s="36" t="e">
        <f>((($B$3*86400/($B$6-(($L$9/2*($B$4-B19)/1000)))*$B$6)/86400)/4+L17)*2</f>
        <v>#DIV/0!</v>
      </c>
    </row>
    <row r="28" spans="1:12">
      <c r="A28" s="1"/>
      <c r="B28" s="22">
        <v>14</v>
      </c>
      <c r="C28" s="23" t="e">
        <f t="shared" si="0"/>
        <v>#DIV/0!</v>
      </c>
      <c r="D28" s="24" t="e">
        <f t="shared" si="1"/>
        <v>#DIV/0!</v>
      </c>
      <c r="E28" s="1"/>
      <c r="F28" s="1"/>
      <c r="G28" s="1"/>
      <c r="H28" s="27"/>
      <c r="K28" s="35">
        <v>4</v>
      </c>
      <c r="L28" s="36" t="e">
        <f>((($B$3*86400/($B$6-(($L$9/2*($B$4-B20)/1000)))*$B$6)/86400)/4+L18)*2</f>
        <v>#DIV/0!</v>
      </c>
    </row>
    <row r="29" spans="1:12" ht="16" thickBot="1">
      <c r="A29" s="1"/>
      <c r="B29" s="22">
        <v>15</v>
      </c>
      <c r="C29" s="23" t="e">
        <f t="shared" si="0"/>
        <v>#DIV/0!</v>
      </c>
      <c r="D29" s="24" t="e">
        <f t="shared" si="1"/>
        <v>#DIV/0!</v>
      </c>
      <c r="E29" s="1"/>
      <c r="F29" s="1"/>
      <c r="G29" s="1"/>
      <c r="H29" s="27"/>
      <c r="K29" s="37">
        <v>5</v>
      </c>
      <c r="L29" s="38" t="e">
        <f>((($B$3*86400/($B$6-(($L$9/2*($B$4-B21)/1000)))*$B$6)/86400)/4+L19)*2</f>
        <v>#DIV/0!</v>
      </c>
    </row>
    <row r="30" spans="1:12" ht="16" thickTop="1">
      <c r="A30" s="1"/>
      <c r="B30" s="22">
        <v>16</v>
      </c>
      <c r="C30" s="23" t="e">
        <f t="shared" si="0"/>
        <v>#DIV/0!</v>
      </c>
      <c r="D30" s="24" t="e">
        <f t="shared" si="1"/>
        <v>#DIV/0!</v>
      </c>
      <c r="E30" s="1"/>
      <c r="F30" s="1"/>
      <c r="G30" s="1"/>
      <c r="H30" s="27"/>
    </row>
    <row r="31" spans="1:12">
      <c r="A31" s="1"/>
      <c r="B31" s="22">
        <v>17</v>
      </c>
      <c r="C31" s="23" t="e">
        <f t="shared" si="0"/>
        <v>#DIV/0!</v>
      </c>
      <c r="D31" s="24" t="e">
        <f t="shared" si="1"/>
        <v>#DIV/0!</v>
      </c>
      <c r="E31" s="1"/>
      <c r="F31" s="1"/>
      <c r="G31" s="1"/>
      <c r="H31" s="27"/>
    </row>
    <row r="32" spans="1:12" ht="16" thickBot="1">
      <c r="A32" s="1"/>
      <c r="B32" s="21">
        <v>18</v>
      </c>
      <c r="C32" s="39" t="e">
        <f t="shared" si="0"/>
        <v>#DIV/0!</v>
      </c>
      <c r="D32" s="40" t="e">
        <f t="shared" si="1"/>
        <v>#DIV/0!</v>
      </c>
      <c r="E32" s="1"/>
      <c r="F32" s="1"/>
      <c r="G32" s="1"/>
      <c r="H32" s="27"/>
    </row>
    <row r="33" spans="1:8" ht="16" thickTop="1">
      <c r="H33" s="27"/>
    </row>
    <row r="34" spans="1:8" ht="16" thickBot="1"/>
    <row r="35" spans="1:8" ht="16" thickTop="1">
      <c r="A35" s="8"/>
      <c r="B35" s="41"/>
      <c r="C35" s="42" t="s">
        <v>22</v>
      </c>
      <c r="D35" s="43"/>
      <c r="E35" s="43"/>
      <c r="F35" s="43"/>
      <c r="G35" s="43"/>
      <c r="H35" s="44" t="s">
        <v>23</v>
      </c>
    </row>
    <row r="36" spans="1:8" ht="16" thickBot="1">
      <c r="A36" s="19" t="s">
        <v>24</v>
      </c>
      <c r="B36" s="45"/>
      <c r="C36" s="46" t="s">
        <v>25</v>
      </c>
      <c r="D36" s="47" t="s">
        <v>26</v>
      </c>
      <c r="E36" s="47" t="s">
        <v>27</v>
      </c>
      <c r="F36" s="47" t="s">
        <v>28</v>
      </c>
      <c r="G36" s="47" t="s">
        <v>29</v>
      </c>
      <c r="H36" s="48" t="s">
        <v>30</v>
      </c>
    </row>
    <row r="37" spans="1:8" ht="16" thickTop="1">
      <c r="A37" s="11" t="s">
        <v>31</v>
      </c>
      <c r="B37" s="49" t="s">
        <v>32</v>
      </c>
      <c r="C37" s="50" t="e">
        <f>C39*0.9554</f>
        <v>#DIV/0!</v>
      </c>
      <c r="D37" s="51" t="e">
        <f>D39*0.9571</f>
        <v>#DIV/0!</v>
      </c>
      <c r="E37" s="51" t="e">
        <f>E39*0.9593</f>
        <v>#DIV/0!</v>
      </c>
      <c r="F37" s="51" t="e">
        <f>F39*0.9753</f>
        <v>#DIV/0!</v>
      </c>
      <c r="G37" s="51" t="e">
        <f>G39*0.9665</f>
        <v>#DIV/0!</v>
      </c>
      <c r="H37" s="51" t="e">
        <f>H39*0.9607</f>
        <v>#DIV/0!</v>
      </c>
    </row>
    <row r="38" spans="1:8">
      <c r="A38" s="11"/>
      <c r="B38" s="49" t="s">
        <v>33</v>
      </c>
      <c r="C38" s="50" t="e">
        <f>C39*0.9427</f>
        <v>#DIV/0!</v>
      </c>
      <c r="D38" s="51" t="e">
        <f>D39*0.9401</f>
        <v>#DIV/0!</v>
      </c>
      <c r="E38" s="51" t="e">
        <f>E39*0.9418</f>
        <v>#DIV/0!</v>
      </c>
      <c r="F38" s="51" t="e">
        <f>F39*0.9573</f>
        <v>#DIV/0!</v>
      </c>
      <c r="G38" s="51" t="e">
        <f>G39*0.9472</f>
        <v>#DIV/0!</v>
      </c>
      <c r="H38" s="51" t="e">
        <f>H39*0.9379</f>
        <v>#DIV/0!</v>
      </c>
    </row>
    <row r="39" spans="1:8">
      <c r="A39" s="11"/>
      <c r="B39" s="49" t="s">
        <v>34</v>
      </c>
      <c r="C39" s="50" t="e">
        <f>L24</f>
        <v>#DIV/0!</v>
      </c>
      <c r="D39" s="51" t="e">
        <f>L25</f>
        <v>#DIV/0!</v>
      </c>
      <c r="E39" s="51" t="e">
        <f>L26</f>
        <v>#DIV/0!</v>
      </c>
      <c r="F39" s="51" t="e">
        <f>L27</f>
        <v>#DIV/0!</v>
      </c>
      <c r="G39" s="51" t="e">
        <f>L28</f>
        <v>#DIV/0!</v>
      </c>
      <c r="H39" s="51" t="e">
        <f>L29</f>
        <v>#DIV/0!</v>
      </c>
    </row>
    <row r="40" spans="1:8">
      <c r="A40" s="11"/>
      <c r="B40" s="49"/>
      <c r="C40" s="52"/>
      <c r="D40" s="53"/>
      <c r="E40" s="53"/>
      <c r="F40" s="53"/>
      <c r="G40" s="53"/>
      <c r="H40" s="53"/>
    </row>
    <row r="41" spans="1:8">
      <c r="A41" s="11" t="s">
        <v>35</v>
      </c>
      <c r="B41" s="49" t="s">
        <v>32</v>
      </c>
      <c r="C41" s="50" t="e">
        <f>C39*1.9443</f>
        <v>#DIV/0!</v>
      </c>
      <c r="D41" s="51" t="e">
        <f>D39*1.9439</f>
        <v>#DIV/0!</v>
      </c>
      <c r="E41" s="51" t="e">
        <f>E39*1.9449</f>
        <v>#DIV/0!</v>
      </c>
      <c r="F41" s="51" t="e">
        <f>F39*1.9293</f>
        <v>#DIV/0!</v>
      </c>
      <c r="G41" s="51" t="e">
        <f>G39*1.9718</f>
        <v>#DIV/0!</v>
      </c>
      <c r="H41" s="51" t="e">
        <f>H39*1.9656</f>
        <v>#DIV/0!</v>
      </c>
    </row>
    <row r="42" spans="1:8">
      <c r="A42" s="11"/>
      <c r="B42" s="49" t="s">
        <v>33</v>
      </c>
      <c r="C42" s="50" t="e">
        <f>C39*1.9311</f>
        <v>#DIV/0!</v>
      </c>
      <c r="D42" s="51" t="e">
        <f>D39*1.9258</f>
        <v>#DIV/0!</v>
      </c>
      <c r="E42" s="51" t="e">
        <f>E39*1.9241</f>
        <v>#DIV/0!</v>
      </c>
      <c r="F42" s="51" t="e">
        <f>F39*1.9067</f>
        <v>#DIV/0!</v>
      </c>
      <c r="G42" s="51" t="e">
        <f>G39*1.9391</f>
        <v>#DIV/0!</v>
      </c>
      <c r="H42" s="51" t="e">
        <f>H39*1.9186</f>
        <v>#DIV/0!</v>
      </c>
    </row>
    <row r="43" spans="1:8">
      <c r="A43" s="11"/>
      <c r="B43" s="49"/>
      <c r="C43" s="52"/>
      <c r="D43" s="53"/>
      <c r="E43" s="53"/>
      <c r="F43" s="53"/>
      <c r="G43" s="53"/>
      <c r="H43" s="53"/>
    </row>
    <row r="44" spans="1:8">
      <c r="A44" s="11" t="s">
        <v>36</v>
      </c>
      <c r="B44" s="49" t="s">
        <v>32</v>
      </c>
      <c r="C44" s="50" t="e">
        <f>C39*3.9371</f>
        <v>#DIV/0!</v>
      </c>
      <c r="D44" s="51" t="e">
        <f>D39*3.9346</f>
        <v>#DIV/0!</v>
      </c>
      <c r="E44" s="51" t="e">
        <f>E39*3.937</f>
        <v>#DIV/0!</v>
      </c>
      <c r="F44" s="51" t="e">
        <f>F39*3.938</f>
        <v>#DIV/0!</v>
      </c>
      <c r="G44" s="51" t="e">
        <f>G39*3.968</f>
        <v>#DIV/0!</v>
      </c>
      <c r="H44" s="51" t="e">
        <f>H39*3.9562</f>
        <v>#DIV/0!</v>
      </c>
    </row>
    <row r="45" spans="1:8" ht="16" thickBot="1">
      <c r="A45" s="19"/>
      <c r="B45" s="45" t="s">
        <v>33</v>
      </c>
      <c r="C45" s="54" t="e">
        <f>C39*3.8956</f>
        <v>#DIV/0!</v>
      </c>
      <c r="D45" s="48" t="e">
        <f>D39*3.8913</f>
        <v>#DIV/0!</v>
      </c>
      <c r="E45" s="48" t="e">
        <f>E39*3.8923</f>
        <v>#DIV/0!</v>
      </c>
      <c r="F45" s="48" t="e">
        <f>F39*3.8797</f>
        <v>#DIV/0!</v>
      </c>
      <c r="G45" s="48" t="e">
        <f>G39*3.92</f>
        <v>#DIV/0!</v>
      </c>
      <c r="H45" s="48" t="e">
        <f>H39*3.9032</f>
        <v>#DIV/0!</v>
      </c>
    </row>
    <row r="46" spans="1:8" ht="16" thickTop="1"/>
  </sheetData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B4" sqref="B4"/>
    </sheetView>
  </sheetViews>
  <sheetFormatPr baseColWidth="10" defaultRowHeight="15" x14ac:dyDescent="0"/>
  <cols>
    <col min="1" max="1" width="15.5" customWidth="1"/>
    <col min="2" max="2" width="11.5" customWidth="1"/>
    <col min="3" max="3" width="10.83203125" customWidth="1"/>
    <col min="4" max="6" width="12.6640625" customWidth="1"/>
    <col min="10" max="10" width="13.1640625" customWidth="1"/>
    <col min="11" max="11" width="10.83203125" customWidth="1"/>
    <col min="12" max="12" width="11" customWidth="1"/>
  </cols>
  <sheetData>
    <row r="1" spans="1:13">
      <c r="A1" s="1" t="s">
        <v>0</v>
      </c>
      <c r="B1" s="2">
        <v>100</v>
      </c>
      <c r="C1" s="1"/>
      <c r="D1" s="1"/>
      <c r="E1" s="1"/>
      <c r="F1" s="1"/>
      <c r="G1" s="1"/>
    </row>
    <row r="2" spans="1:13">
      <c r="A2" s="1" t="s">
        <v>1</v>
      </c>
      <c r="B2" s="2" t="s">
        <v>10</v>
      </c>
      <c r="C2" s="3" t="s">
        <v>3</v>
      </c>
      <c r="D2" s="1" t="s">
        <v>4</v>
      </c>
      <c r="E2" s="1" t="s">
        <v>5</v>
      </c>
      <c r="F2" s="1"/>
      <c r="G2" s="1"/>
    </row>
    <row r="3" spans="1:13">
      <c r="A3" s="1" t="s">
        <v>6</v>
      </c>
      <c r="B3" s="4"/>
      <c r="C3" s="5"/>
      <c r="D3" s="1" t="s">
        <v>7</v>
      </c>
      <c r="E3" s="1" t="s">
        <v>8</v>
      </c>
      <c r="F3" s="1" t="s">
        <v>37</v>
      </c>
      <c r="G3" s="1"/>
      <c r="H3" s="6"/>
    </row>
    <row r="4" spans="1:13" ht="16" thickBot="1">
      <c r="A4" s="1" t="s">
        <v>9</v>
      </c>
      <c r="B4" s="2"/>
      <c r="C4" s="5"/>
      <c r="D4" s="1" t="s">
        <v>10</v>
      </c>
      <c r="E4" s="1" t="s">
        <v>11</v>
      </c>
      <c r="F4" s="1"/>
      <c r="G4" s="1"/>
      <c r="H4" s="7"/>
    </row>
    <row r="5" spans="1:13" ht="16" thickTop="1">
      <c r="A5" s="1"/>
      <c r="B5" s="1"/>
      <c r="C5" s="1"/>
      <c r="D5" s="1" t="s">
        <v>2</v>
      </c>
      <c r="E5" s="1" t="s">
        <v>12</v>
      </c>
      <c r="F5" s="1" t="s">
        <v>37</v>
      </c>
      <c r="G5" s="1"/>
      <c r="K5" s="8" t="s">
        <v>4</v>
      </c>
      <c r="L5" s="25">
        <v>38.950000000000003</v>
      </c>
    </row>
    <row r="6" spans="1:13">
      <c r="A6" s="1" t="s">
        <v>14</v>
      </c>
      <c r="B6" s="10" t="e">
        <f>B1/(B3*86400)</f>
        <v>#DIV/0!</v>
      </c>
      <c r="C6" s="1"/>
      <c r="D6" s="1"/>
      <c r="E6" s="1"/>
      <c r="F6" s="1"/>
      <c r="G6" s="1"/>
      <c r="K6" s="11" t="s">
        <v>7</v>
      </c>
      <c r="L6" s="26">
        <v>34</v>
      </c>
    </row>
    <row r="7" spans="1:13" ht="19" thickBot="1">
      <c r="A7" s="120" t="str">
        <f>'Lactaat Calculation'!A7</f>
        <v>Name</v>
      </c>
      <c r="B7" s="1"/>
      <c r="C7" s="1"/>
      <c r="D7" s="1"/>
      <c r="E7" s="1"/>
      <c r="F7" s="1"/>
      <c r="G7" s="1"/>
      <c r="K7" s="11" t="s">
        <v>10</v>
      </c>
      <c r="L7" s="26">
        <v>37</v>
      </c>
    </row>
    <row r="8" spans="1:13" ht="17" thickTop="1" thickBot="1">
      <c r="A8" s="13" t="str">
        <f>'Lactaat Calculation'!A8</f>
        <v>First Name</v>
      </c>
      <c r="B8" s="14" t="str">
        <f>'Lactaat Calculation'!B8</f>
        <v>Date</v>
      </c>
      <c r="C8" s="15" t="s">
        <v>15</v>
      </c>
      <c r="D8" s="16" t="s">
        <v>38</v>
      </c>
      <c r="E8" s="17" t="e">
        <f>($B$3*86400/($B$6-(($L$9/1.685*($B$4-B18)/1000)))*$B$6)/86400</f>
        <v>#DIV/0!</v>
      </c>
      <c r="F8" s="1"/>
      <c r="G8" s="1"/>
      <c r="J8" s="6"/>
      <c r="K8" s="28" t="s">
        <v>2</v>
      </c>
      <c r="L8" s="26">
        <v>35.76</v>
      </c>
      <c r="M8" s="6"/>
    </row>
    <row r="9" spans="1:13" ht="17" thickTop="1" thickBot="1">
      <c r="A9" s="1"/>
      <c r="B9" s="1"/>
      <c r="C9" s="1"/>
      <c r="D9" s="1"/>
      <c r="E9" s="1"/>
      <c r="F9" s="1"/>
      <c r="G9" s="1"/>
      <c r="J9" s="6"/>
      <c r="K9" s="29" t="s">
        <v>20</v>
      </c>
      <c r="L9" s="30">
        <f>VLOOKUP(B2,K5:L8,2,FALSE)</f>
        <v>37</v>
      </c>
      <c r="M9" s="6"/>
    </row>
    <row r="10" spans="1:13" ht="16" thickTop="1">
      <c r="A10" s="1"/>
      <c r="B10" s="1" t="s">
        <v>16</v>
      </c>
      <c r="C10" s="1"/>
      <c r="D10" s="1"/>
      <c r="E10" s="1"/>
      <c r="F10" s="1"/>
      <c r="G10" s="1"/>
      <c r="J10" s="6"/>
      <c r="K10" s="7"/>
      <c r="L10" s="6"/>
      <c r="M10" s="6"/>
    </row>
    <row r="11" spans="1:13" ht="16" thickBot="1">
      <c r="A11" s="1"/>
      <c r="B11" s="1"/>
      <c r="C11" s="1"/>
      <c r="D11" s="1"/>
      <c r="E11" s="1"/>
      <c r="F11" s="1"/>
      <c r="G11" s="1"/>
    </row>
    <row r="12" spans="1:13" ht="16" thickTop="1">
      <c r="A12" s="1"/>
      <c r="B12" s="18" t="s">
        <v>17</v>
      </c>
      <c r="C12" s="18" t="s">
        <v>18</v>
      </c>
      <c r="D12" s="18" t="s">
        <v>19</v>
      </c>
      <c r="E12" s="1"/>
      <c r="K12" s="8" t="s">
        <v>13</v>
      </c>
      <c r="L12" s="9">
        <v>6.5277777777777776E-5</v>
      </c>
    </row>
    <row r="13" spans="1:13" ht="16" thickBot="1">
      <c r="A13" s="1"/>
      <c r="B13" s="21"/>
      <c r="C13" s="21"/>
      <c r="D13" s="21"/>
      <c r="E13" s="1"/>
      <c r="K13" s="11"/>
      <c r="L13" s="12">
        <v>4.0856481481481478E-5</v>
      </c>
    </row>
    <row r="14" spans="1:13" ht="16" thickTop="1">
      <c r="A14" s="1"/>
      <c r="B14" s="22">
        <v>1</v>
      </c>
      <c r="C14" s="23" t="e">
        <f>$B$6-(($L$9/1.685*($B$4-B14)/1000))</f>
        <v>#DIV/0!</v>
      </c>
      <c r="D14" s="24" t="e">
        <f>($B$3*86400/($B$6-(($L$9/1.685*($B$4-B14)/1000)))*$B$6)/86400</f>
        <v>#DIV/0!</v>
      </c>
      <c r="E14" s="1"/>
      <c r="K14" s="11"/>
      <c r="L14" s="12">
        <v>2.2222222222222223E-5</v>
      </c>
    </row>
    <row r="15" spans="1:13">
      <c r="A15" s="1"/>
      <c r="B15" s="22">
        <v>1.5</v>
      </c>
      <c r="C15" s="23" t="e">
        <f>$B$6-(($L$9/1.685*($B$4-B15)/1000))</f>
        <v>#DIV/0!</v>
      </c>
      <c r="D15" s="24" t="e">
        <f>($B$3*86400/($B$6-(($L$9/1.685*($B$4-B15)/1000)))*$B$6)/86400</f>
        <v>#DIV/0!</v>
      </c>
      <c r="E15" s="1"/>
      <c r="K15" s="11"/>
      <c r="L15" s="12"/>
    </row>
    <row r="16" spans="1:13">
      <c r="A16" s="1"/>
      <c r="B16" s="22">
        <v>2</v>
      </c>
      <c r="C16" s="23" t="e">
        <f>$B$6-(($L$9/1.685*($B$4-B16)/1000))</f>
        <v>#DIV/0!</v>
      </c>
      <c r="D16" s="24" t="e">
        <f>($B$3*86400/($B$6-(($L$9/1.685*($B$4-B16)/1000)))*$B$6)/86400</f>
        <v>#DIV/0!</v>
      </c>
      <c r="E16" s="1"/>
      <c r="K16" s="11"/>
      <c r="L16" s="12"/>
    </row>
    <row r="17" spans="1:12">
      <c r="A17" s="1"/>
      <c r="B17" s="22">
        <v>3</v>
      </c>
      <c r="C17" s="23" t="e">
        <f>$B$6-(($L$9/1.685*($B$4-B17)/1000))</f>
        <v>#DIV/0!</v>
      </c>
      <c r="D17" s="24" t="e">
        <f>($B$3*86400/($B$6-(($L$9/1.685*($B$4-B17)/1000)))*$B$6)/86400</f>
        <v>#DIV/0!</v>
      </c>
      <c r="E17" s="1"/>
      <c r="H17" s="27"/>
      <c r="K17" s="11"/>
      <c r="L17" s="12">
        <v>1.0185185185185185E-5</v>
      </c>
    </row>
    <row r="18" spans="1:12">
      <c r="A18" s="1"/>
      <c r="B18" s="22">
        <v>4</v>
      </c>
      <c r="C18" s="23" t="e">
        <f>$B$6-(($L$9/1.685*($B$4-B18)/1000))</f>
        <v>#DIV/0!</v>
      </c>
      <c r="D18" s="24" t="e">
        <f>($B$3*86400/($B$6-(($L$9/1.685*($B$4-B18)/1000)))*$B$6)/86400</f>
        <v>#DIV/0!</v>
      </c>
      <c r="E18" s="1"/>
      <c r="H18" s="27"/>
      <c r="K18" s="11"/>
      <c r="L18" s="12">
        <v>1.1574074074074073E-7</v>
      </c>
    </row>
    <row r="19" spans="1:12" ht="16" thickBot="1">
      <c r="A19" s="1"/>
      <c r="B19" s="22">
        <v>5</v>
      </c>
      <c r="C19" s="23" t="e">
        <f t="shared" ref="C19:C32" si="0">$B$6-(($L$9/1.685*($B$4-B19)/1000))</f>
        <v>#DIV/0!</v>
      </c>
      <c r="D19" s="24" t="e">
        <f t="shared" ref="D19:D32" si="1">($B$3*86400/($B$6-(($L$9/1.685*($B$4-B19)/1000)))*$B$6)/86400</f>
        <v>#DIV/0!</v>
      </c>
      <c r="E19" s="1"/>
      <c r="H19" s="27"/>
      <c r="K19" s="19"/>
      <c r="L19" s="20">
        <v>1.1574074074074073E-7</v>
      </c>
    </row>
    <row r="20" spans="1:12" ht="16" thickTop="1">
      <c r="A20" s="1"/>
      <c r="B20" s="22">
        <v>6</v>
      </c>
      <c r="C20" s="23" t="e">
        <f t="shared" si="0"/>
        <v>#DIV/0!</v>
      </c>
      <c r="D20" s="24" t="e">
        <f t="shared" si="1"/>
        <v>#DIV/0!</v>
      </c>
      <c r="E20" s="1"/>
      <c r="F20" s="1"/>
      <c r="G20" s="1"/>
      <c r="H20" s="27"/>
    </row>
    <row r="21" spans="1:12" ht="16" thickBot="1">
      <c r="A21" s="1"/>
      <c r="B21" s="22">
        <v>7</v>
      </c>
      <c r="C21" s="23" t="e">
        <f t="shared" si="0"/>
        <v>#DIV/0!</v>
      </c>
      <c r="D21" s="24" t="e">
        <f t="shared" si="1"/>
        <v>#DIV/0!</v>
      </c>
      <c r="E21" s="1"/>
      <c r="F21" s="1"/>
      <c r="G21" s="1"/>
      <c r="H21" s="27"/>
    </row>
    <row r="22" spans="1:12" ht="16" thickTop="1">
      <c r="A22" s="1"/>
      <c r="B22" s="22">
        <v>8</v>
      </c>
      <c r="C22" s="23" t="e">
        <f t="shared" si="0"/>
        <v>#DIV/0!</v>
      </c>
      <c r="D22" s="24" t="e">
        <f t="shared" si="1"/>
        <v>#DIV/0!</v>
      </c>
      <c r="E22" s="1"/>
      <c r="F22" s="1"/>
      <c r="G22" s="1"/>
      <c r="H22" s="27"/>
      <c r="K22" s="31" t="s">
        <v>21</v>
      </c>
      <c r="L22" s="32"/>
    </row>
    <row r="23" spans="1:12">
      <c r="A23" s="1"/>
      <c r="B23" s="22">
        <v>9</v>
      </c>
      <c r="C23" s="23" t="e">
        <f t="shared" si="0"/>
        <v>#DIV/0!</v>
      </c>
      <c r="D23" s="24" t="e">
        <f t="shared" si="1"/>
        <v>#DIV/0!</v>
      </c>
      <c r="E23" s="1"/>
      <c r="F23" s="1"/>
      <c r="G23" s="1"/>
      <c r="H23" s="27"/>
      <c r="K23" s="33"/>
      <c r="L23" s="34"/>
    </row>
    <row r="24" spans="1:12">
      <c r="A24" s="1"/>
      <c r="B24" s="22">
        <v>10</v>
      </c>
      <c r="C24" s="23" t="e">
        <f t="shared" si="0"/>
        <v>#DIV/0!</v>
      </c>
      <c r="D24" s="24" t="e">
        <f t="shared" si="1"/>
        <v>#DIV/0!</v>
      </c>
      <c r="E24" s="1"/>
      <c r="F24" s="1"/>
      <c r="G24" s="1"/>
      <c r="H24" s="27"/>
      <c r="K24" s="35">
        <v>1</v>
      </c>
      <c r="L24" s="36" t="e">
        <f>((($B$3*86400/($B$6-(($L$9/2*($B$4-B16)/1000)))*$B$6)/86400)/4+L12)*4</f>
        <v>#DIV/0!</v>
      </c>
    </row>
    <row r="25" spans="1:12">
      <c r="A25" s="1"/>
      <c r="B25" s="22">
        <v>11</v>
      </c>
      <c r="C25" s="23" t="e">
        <f t="shared" si="0"/>
        <v>#DIV/0!</v>
      </c>
      <c r="D25" s="24" t="e">
        <f t="shared" si="1"/>
        <v>#DIV/0!</v>
      </c>
      <c r="E25" s="1"/>
      <c r="F25" s="1"/>
      <c r="G25" s="1"/>
      <c r="H25" s="27"/>
      <c r="K25" s="35">
        <v>1.5</v>
      </c>
      <c r="L25" s="36" t="e">
        <f>((($B$3*86400/($B$6-(($L$9/2*($B$4-B17)/1000)))*$B$6)/86400)/4+L13)*4</f>
        <v>#DIV/0!</v>
      </c>
    </row>
    <row r="26" spans="1:12">
      <c r="A26" s="1"/>
      <c r="B26" s="22">
        <v>12</v>
      </c>
      <c r="C26" s="23" t="e">
        <f t="shared" si="0"/>
        <v>#DIV/0!</v>
      </c>
      <c r="D26" s="24" t="e">
        <f t="shared" si="1"/>
        <v>#DIV/0!</v>
      </c>
      <c r="E26" s="1"/>
      <c r="F26" s="1"/>
      <c r="G26" s="1"/>
      <c r="H26" s="27"/>
      <c r="K26" s="35">
        <v>2</v>
      </c>
      <c r="L26" s="36" t="e">
        <f>((($B$3*86400/($B$6-(($L$9/2*($B$4-B18)/1000)))*$B$6)/86400)/4+L14)*4</f>
        <v>#DIV/0!</v>
      </c>
    </row>
    <row r="27" spans="1:12">
      <c r="A27" s="1"/>
      <c r="B27" s="22">
        <v>13</v>
      </c>
      <c r="C27" s="23" t="e">
        <f t="shared" si="0"/>
        <v>#DIV/0!</v>
      </c>
      <c r="D27" s="24" t="e">
        <f t="shared" si="1"/>
        <v>#DIV/0!</v>
      </c>
      <c r="E27" s="1"/>
      <c r="F27" s="1"/>
      <c r="G27" s="1"/>
      <c r="H27" s="27"/>
      <c r="K27" s="35">
        <v>3</v>
      </c>
      <c r="L27" s="36" t="e">
        <f>((($B$3*86400/($B$6-(($L$9/2*($B$4-B19)/1000)))*$B$6)/86400)/4+L17)*4</f>
        <v>#DIV/0!</v>
      </c>
    </row>
    <row r="28" spans="1:12">
      <c r="A28" s="1"/>
      <c r="B28" s="22">
        <v>14</v>
      </c>
      <c r="C28" s="23" t="e">
        <f t="shared" si="0"/>
        <v>#DIV/0!</v>
      </c>
      <c r="D28" s="24" t="e">
        <f t="shared" si="1"/>
        <v>#DIV/0!</v>
      </c>
      <c r="E28" s="1"/>
      <c r="F28" s="1"/>
      <c r="G28" s="1"/>
      <c r="H28" s="27"/>
      <c r="K28" s="35">
        <v>4</v>
      </c>
      <c r="L28" s="36" t="e">
        <f>((($B$3*86400/($B$6-(($L$9/2*($B$4-B20)/1000)))*$B$6)/86400)/4-L18)*4</f>
        <v>#DIV/0!</v>
      </c>
    </row>
    <row r="29" spans="1:12" ht="16" thickBot="1">
      <c r="A29" s="1"/>
      <c r="B29" s="22">
        <v>15</v>
      </c>
      <c r="C29" s="23" t="e">
        <f t="shared" si="0"/>
        <v>#DIV/0!</v>
      </c>
      <c r="D29" s="24" t="e">
        <f t="shared" si="1"/>
        <v>#DIV/0!</v>
      </c>
      <c r="E29" s="1"/>
      <c r="F29" s="1"/>
      <c r="G29" s="1"/>
      <c r="H29" s="27"/>
      <c r="K29" s="37">
        <v>5</v>
      </c>
      <c r="L29" s="38" t="e">
        <f>((($B$3*86400/($B$6-(($L$9/2*($B$4-B21)/1000)))*$B$6)/86400)/4-L19)*4</f>
        <v>#DIV/0!</v>
      </c>
    </row>
    <row r="30" spans="1:12" ht="16" thickTop="1">
      <c r="A30" s="1"/>
      <c r="B30" s="22">
        <v>16</v>
      </c>
      <c r="C30" s="23" t="e">
        <f t="shared" si="0"/>
        <v>#DIV/0!</v>
      </c>
      <c r="D30" s="24" t="e">
        <f t="shared" si="1"/>
        <v>#DIV/0!</v>
      </c>
      <c r="E30" s="1"/>
      <c r="F30" s="1"/>
      <c r="G30" s="1"/>
      <c r="H30" s="27"/>
    </row>
    <row r="31" spans="1:12">
      <c r="A31" s="1"/>
      <c r="B31" s="22">
        <v>17</v>
      </c>
      <c r="C31" s="23" t="e">
        <f t="shared" si="0"/>
        <v>#DIV/0!</v>
      </c>
      <c r="D31" s="24" t="e">
        <f t="shared" si="1"/>
        <v>#DIV/0!</v>
      </c>
      <c r="E31" s="1"/>
      <c r="F31" s="1"/>
      <c r="G31" s="1"/>
      <c r="H31" s="27"/>
    </row>
    <row r="32" spans="1:12" ht="16" thickBot="1">
      <c r="A32" s="1"/>
      <c r="B32" s="21">
        <v>18</v>
      </c>
      <c r="C32" s="39" t="e">
        <f t="shared" si="0"/>
        <v>#DIV/0!</v>
      </c>
      <c r="D32" s="40" t="e">
        <f t="shared" si="1"/>
        <v>#DIV/0!</v>
      </c>
      <c r="E32" s="1"/>
      <c r="F32" s="1"/>
      <c r="G32" s="1"/>
      <c r="H32" s="27"/>
    </row>
    <row r="33" spans="1:8" ht="16" thickTop="1">
      <c r="H33" s="27"/>
    </row>
    <row r="34" spans="1:8" ht="16" thickBot="1"/>
    <row r="35" spans="1:8" ht="16" thickTop="1">
      <c r="A35" s="8"/>
      <c r="B35" s="41"/>
      <c r="C35" s="42" t="s">
        <v>22</v>
      </c>
      <c r="D35" s="43"/>
      <c r="E35" s="43"/>
      <c r="F35" s="43"/>
      <c r="G35" s="43"/>
      <c r="H35" s="44" t="s">
        <v>23</v>
      </c>
    </row>
    <row r="36" spans="1:8" ht="16" thickBot="1">
      <c r="A36" s="19" t="s">
        <v>24</v>
      </c>
      <c r="B36" s="45"/>
      <c r="C36" s="46" t="s">
        <v>25</v>
      </c>
      <c r="D36" s="47" t="s">
        <v>26</v>
      </c>
      <c r="E36" s="47" t="s">
        <v>27</v>
      </c>
      <c r="F36" s="47" t="s">
        <v>28</v>
      </c>
      <c r="G36" s="47" t="s">
        <v>29</v>
      </c>
      <c r="H36" s="48" t="s">
        <v>30</v>
      </c>
    </row>
    <row r="37" spans="1:8" ht="16" thickTop="1">
      <c r="A37" s="11" t="s">
        <v>31</v>
      </c>
      <c r="B37" s="49" t="s">
        <v>32</v>
      </c>
      <c r="C37" s="50" t="e">
        <f>C39*0.9354</f>
        <v>#DIV/0!</v>
      </c>
      <c r="D37" s="51" t="e">
        <f>D39*0.9335</f>
        <v>#DIV/0!</v>
      </c>
      <c r="E37" s="51" t="e">
        <f>E39*0.9313</f>
        <v>#DIV/0!</v>
      </c>
      <c r="F37" s="51" t="e">
        <f>F39*0.9483</f>
        <v>#DIV/0!</v>
      </c>
      <c r="G37" s="51" t="e">
        <f>G39*0.9465</f>
        <v>#DIV/0!</v>
      </c>
      <c r="H37" s="51" t="e">
        <f>H39*0.9495</f>
        <v>#DIV/0!</v>
      </c>
    </row>
    <row r="38" spans="1:8">
      <c r="A38" s="11"/>
      <c r="B38" s="49" t="s">
        <v>33</v>
      </c>
      <c r="C38" s="50" t="e">
        <f>C39*0.9167</f>
        <v>#DIV/0!</v>
      </c>
      <c r="D38" s="51" t="e">
        <f>D39*0.9142</f>
        <v>#DIV/0!</v>
      </c>
      <c r="E38" s="51" t="e">
        <f>E39*0.9118</f>
        <v>#DIV/0!</v>
      </c>
      <c r="F38" s="51" t="e">
        <f>F39*0.9243</f>
        <v>#DIV/0!</v>
      </c>
      <c r="G38" s="51" t="e">
        <f>G39*0.9232</f>
        <v>#DIV/0!</v>
      </c>
      <c r="H38" s="51" t="e">
        <f>H39*0.9237</f>
        <v>#DIV/0!</v>
      </c>
    </row>
    <row r="39" spans="1:8">
      <c r="A39" s="11"/>
      <c r="B39" s="49" t="s">
        <v>34</v>
      </c>
      <c r="C39" s="50" t="e">
        <f>L24</f>
        <v>#DIV/0!</v>
      </c>
      <c r="D39" s="51" t="e">
        <f>L25</f>
        <v>#DIV/0!</v>
      </c>
      <c r="E39" s="51" t="e">
        <f>L26</f>
        <v>#DIV/0!</v>
      </c>
      <c r="F39" s="51" t="e">
        <f>L27</f>
        <v>#DIV/0!</v>
      </c>
      <c r="G39" s="51" t="e">
        <f>L28</f>
        <v>#DIV/0!</v>
      </c>
      <c r="H39" s="51" t="e">
        <f>L29</f>
        <v>#DIV/0!</v>
      </c>
    </row>
    <row r="40" spans="1:8">
      <c r="A40" s="11"/>
      <c r="B40" s="49"/>
      <c r="C40" s="52"/>
      <c r="D40" s="53"/>
      <c r="E40" s="53"/>
      <c r="F40" s="53"/>
      <c r="G40" s="53"/>
      <c r="H40" s="53"/>
    </row>
    <row r="41" spans="1:8">
      <c r="A41" s="11" t="s">
        <v>35</v>
      </c>
      <c r="B41" s="49" t="s">
        <v>32</v>
      </c>
      <c r="C41" s="50" t="e">
        <f>C39*1.9143</f>
        <v>#DIV/0!</v>
      </c>
      <c r="D41" s="51" t="e">
        <f>D39*1.9119</f>
        <v>#DIV/0!</v>
      </c>
      <c r="E41" s="51" t="e">
        <f>E39*1.9082</f>
        <v>#DIV/0!</v>
      </c>
      <c r="F41" s="51" t="e">
        <f>F39*1.9293</f>
        <v>#DIV/0!</v>
      </c>
      <c r="G41" s="51" t="e">
        <f>G39*1.9418</f>
        <v>#DIV/0!</v>
      </c>
      <c r="H41" s="51" t="e">
        <f>H39*1.9456</f>
        <v>#DIV/0!</v>
      </c>
    </row>
    <row r="42" spans="1:8">
      <c r="A42" s="11"/>
      <c r="B42" s="49" t="s">
        <v>33</v>
      </c>
      <c r="C42" s="50" t="e">
        <f>C39*1.8911</f>
        <v>#DIV/0!</v>
      </c>
      <c r="D42" s="51" t="e">
        <f>D39*1.8878</f>
        <v>#DIV/0!</v>
      </c>
      <c r="E42" s="51" t="e">
        <f>E39*1.8841</f>
        <v>#DIV/0!</v>
      </c>
      <c r="F42" s="51" t="e">
        <f>F39*1.9067</f>
        <v>#DIV/0!</v>
      </c>
      <c r="G42" s="51" t="e">
        <f>G39*1.8991</f>
        <v>#DIV/0!</v>
      </c>
      <c r="H42" s="51" t="e">
        <f>H39*1.9186</f>
        <v>#DIV/0!</v>
      </c>
    </row>
    <row r="43" spans="1:8">
      <c r="A43" s="11"/>
      <c r="B43" s="49"/>
      <c r="C43" s="52"/>
      <c r="D43" s="53"/>
      <c r="E43" s="53"/>
      <c r="F43" s="53"/>
      <c r="G43" s="53"/>
      <c r="H43" s="53"/>
    </row>
    <row r="44" spans="1:8">
      <c r="A44" s="11" t="s">
        <v>36</v>
      </c>
      <c r="B44" s="49" t="s">
        <v>32</v>
      </c>
      <c r="C44" s="50" t="e">
        <f>C39*3.8806</f>
        <v>#DIV/0!</v>
      </c>
      <c r="D44" s="51" t="e">
        <f>D39*3.8766</f>
        <v>#DIV/0!</v>
      </c>
      <c r="E44" s="51" t="e">
        <f>E39*3.872</f>
        <v>#DIV/0!</v>
      </c>
      <c r="F44" s="51" t="e">
        <f>F39*3.938</f>
        <v>#DIV/0!</v>
      </c>
      <c r="G44" s="51" t="e">
        <f>G39*3.961</f>
        <v>#DIV/0!</v>
      </c>
      <c r="H44" s="51" t="e">
        <f>H39*3.9862</f>
        <v>#DIV/0!</v>
      </c>
    </row>
    <row r="45" spans="1:8" ht="16" thickBot="1">
      <c r="A45" s="19"/>
      <c r="B45" s="45" t="s">
        <v>33</v>
      </c>
      <c r="C45" s="54" t="e">
        <f>C39*3.8656</f>
        <v>#DIV/0!</v>
      </c>
      <c r="D45" s="48" t="e">
        <f>D39*3.8613</f>
        <v>#DIV/0!</v>
      </c>
      <c r="E45" s="48" t="e">
        <f>E39*3.8563</f>
        <v>#DIV/0!</v>
      </c>
      <c r="F45" s="48" t="e">
        <f>F39*3.8797</f>
        <v>#DIV/0!</v>
      </c>
      <c r="G45" s="48" t="e">
        <f>G39*3.911</f>
        <v>#DIV/0!</v>
      </c>
      <c r="H45" s="48" t="e">
        <f>H39*3.9362</f>
        <v>#DIV/0!</v>
      </c>
    </row>
    <row r="46" spans="1:8" ht="16" thickTop="1"/>
  </sheetData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Layout" workbookViewId="0">
      <selection activeCell="G10" sqref="G10"/>
    </sheetView>
  </sheetViews>
  <sheetFormatPr baseColWidth="10" defaultRowHeight="15" x14ac:dyDescent="0"/>
  <cols>
    <col min="1" max="1" width="11.33203125" customWidth="1"/>
    <col min="3" max="3" width="10.1640625" customWidth="1"/>
    <col min="6" max="6" width="11.83203125" customWidth="1"/>
    <col min="7" max="7" width="9.6640625" customWidth="1"/>
  </cols>
  <sheetData>
    <row r="1" spans="1:8">
      <c r="A1" s="55" t="s">
        <v>43</v>
      </c>
      <c r="B1" s="65" t="str">
        <f>'Lactaat Calculation'!A7</f>
        <v>Name</v>
      </c>
      <c r="C1" s="56" t="s">
        <v>45</v>
      </c>
      <c r="D1" s="141" t="str">
        <f>'Lactaat Calculation'!A8</f>
        <v>First Name</v>
      </c>
      <c r="E1" s="56"/>
      <c r="F1" s="134" t="s">
        <v>49</v>
      </c>
      <c r="G1" s="134"/>
      <c r="H1" s="121"/>
    </row>
    <row r="2" spans="1:8">
      <c r="A2" s="57"/>
      <c r="B2" s="66"/>
      <c r="C2" s="58"/>
      <c r="D2" s="58"/>
      <c r="E2" s="58"/>
      <c r="F2" s="122"/>
      <c r="G2" s="122"/>
      <c r="H2" s="123"/>
    </row>
    <row r="3" spans="1:8">
      <c r="A3" s="59" t="s">
        <v>44</v>
      </c>
      <c r="B3" s="67">
        <v>43695</v>
      </c>
      <c r="C3" s="60" t="s">
        <v>46</v>
      </c>
      <c r="D3" s="119"/>
      <c r="E3" s="60"/>
      <c r="F3" s="124" t="s">
        <v>47</v>
      </c>
      <c r="G3" s="125">
        <v>25</v>
      </c>
      <c r="H3" s="123"/>
    </row>
    <row r="4" spans="1:8" ht="16" thickBot="1">
      <c r="A4" s="61"/>
      <c r="B4" s="62"/>
      <c r="C4" s="62"/>
      <c r="D4" s="62"/>
      <c r="E4" s="63"/>
      <c r="F4" s="126" t="s">
        <v>48</v>
      </c>
      <c r="G4" s="129" t="s">
        <v>55</v>
      </c>
      <c r="H4" s="127"/>
    </row>
    <row r="5" spans="1:8">
      <c r="A5" s="64"/>
      <c r="B5" s="64"/>
      <c r="C5" s="64"/>
      <c r="D5" s="64"/>
      <c r="E5" s="64"/>
      <c r="F5" s="64"/>
      <c r="G5" s="64"/>
    </row>
    <row r="6" spans="1:8" ht="18">
      <c r="A6" s="135" t="s">
        <v>39</v>
      </c>
      <c r="B6" s="135"/>
      <c r="C6" s="64"/>
      <c r="D6" s="64"/>
      <c r="E6" s="64"/>
      <c r="F6" s="64"/>
      <c r="G6" s="64"/>
    </row>
    <row r="7" spans="1:8">
      <c r="B7" s="70" t="s">
        <v>40</v>
      </c>
      <c r="C7" s="70"/>
      <c r="D7" s="70">
        <v>200</v>
      </c>
      <c r="E7" s="70"/>
      <c r="F7" s="70">
        <v>100</v>
      </c>
    </row>
    <row r="8" spans="1:8">
      <c r="A8" s="128" t="s">
        <v>50</v>
      </c>
      <c r="B8" s="71">
        <f>'Lactaat Calculation'!B3</f>
        <v>0</v>
      </c>
      <c r="D8" s="74">
        <f>'Resistance 200m'!B3</f>
        <v>0</v>
      </c>
      <c r="F8" s="74">
        <f>'Resistance 100m'!B3</f>
        <v>0</v>
      </c>
    </row>
    <row r="9" spans="1:8">
      <c r="A9" s="64" t="s">
        <v>41</v>
      </c>
      <c r="B9" s="72">
        <f>'Lactaat Calculation'!B4</f>
        <v>0</v>
      </c>
      <c r="D9" s="69">
        <f>'Resistance 200m'!B4</f>
        <v>0</v>
      </c>
      <c r="F9" s="69">
        <f>'Resistance 100m'!B4</f>
        <v>0</v>
      </c>
    </row>
    <row r="10" spans="1:8">
      <c r="A10" s="128" t="s">
        <v>52</v>
      </c>
      <c r="B10" s="69"/>
      <c r="C10" s="69"/>
      <c r="D10" s="69"/>
      <c r="E10" s="69"/>
      <c r="F10" s="69"/>
    </row>
    <row r="11" spans="1:8">
      <c r="A11" s="128" t="s">
        <v>51</v>
      </c>
      <c r="B11" s="69"/>
      <c r="C11" s="69"/>
      <c r="D11" s="69"/>
      <c r="E11" s="69"/>
      <c r="F11" s="69"/>
    </row>
    <row r="13" spans="1:8">
      <c r="A13" s="136" t="s">
        <v>42</v>
      </c>
      <c r="B13" s="136"/>
      <c r="C13" s="64"/>
      <c r="D13" s="64"/>
    </row>
    <row r="14" spans="1:8">
      <c r="A14" s="75" t="s">
        <v>17</v>
      </c>
      <c r="B14" s="76" t="s">
        <v>19</v>
      </c>
      <c r="C14" s="73"/>
      <c r="D14" s="76" t="s">
        <v>19</v>
      </c>
      <c r="F14" s="76" t="s">
        <v>19</v>
      </c>
    </row>
    <row r="15" spans="1:8">
      <c r="A15" s="75">
        <v>2</v>
      </c>
      <c r="B15" s="27" t="e">
        <f>'Lactaat Calculation'!D16</f>
        <v>#DIV/0!</v>
      </c>
      <c r="D15" s="27" t="e">
        <f>'Resistance 200m'!D16</f>
        <v>#DIV/0!</v>
      </c>
      <c r="F15" s="27" t="e">
        <f>'Resistance 100m'!D16</f>
        <v>#DIV/0!</v>
      </c>
    </row>
    <row r="16" spans="1:8">
      <c r="A16" s="75">
        <v>3</v>
      </c>
      <c r="B16" s="27" t="e">
        <f>'Lactaat Calculation'!D17</f>
        <v>#DIV/0!</v>
      </c>
      <c r="D16" s="27" t="e">
        <f>'Resistance 200m'!D17</f>
        <v>#DIV/0!</v>
      </c>
      <c r="F16" s="27" t="e">
        <f>'Resistance 100m'!D17</f>
        <v>#DIV/0!</v>
      </c>
    </row>
    <row r="17" spans="1:10">
      <c r="A17" s="75">
        <v>4</v>
      </c>
      <c r="B17" s="27" t="e">
        <f>'Lactaat Calculation'!D18</f>
        <v>#DIV/0!</v>
      </c>
      <c r="D17" s="27" t="e">
        <f>'Resistance 200m'!D18</f>
        <v>#DIV/0!</v>
      </c>
      <c r="F17" s="27" t="e">
        <f>'Resistance 100m'!D18</f>
        <v>#DIV/0!</v>
      </c>
    </row>
    <row r="18" spans="1:10">
      <c r="A18" s="75">
        <v>6</v>
      </c>
      <c r="B18" s="27" t="e">
        <f>'Lactaat Calculation'!D20</f>
        <v>#DIV/0!</v>
      </c>
      <c r="D18" s="27" t="e">
        <f>'Resistance 200m'!D20</f>
        <v>#DIV/0!</v>
      </c>
      <c r="F18" s="27" t="e">
        <f>'Resistance 100m'!D20</f>
        <v>#DIV/0!</v>
      </c>
    </row>
    <row r="19" spans="1:10">
      <c r="A19" s="75">
        <v>8</v>
      </c>
      <c r="B19" s="27" t="e">
        <f>'Lactaat Calculation'!D22</f>
        <v>#DIV/0!</v>
      </c>
      <c r="D19" s="27" t="e">
        <f>'Resistance 200m'!D22</f>
        <v>#DIV/0!</v>
      </c>
      <c r="F19" s="27" t="e">
        <f>'Resistance 100m'!D22</f>
        <v>#DIV/0!</v>
      </c>
    </row>
    <row r="20" spans="1:10">
      <c r="A20" s="75">
        <v>10</v>
      </c>
      <c r="B20" s="27" t="e">
        <f>'Lactaat Calculation'!D24</f>
        <v>#DIV/0!</v>
      </c>
      <c r="D20" s="27" t="e">
        <f>'Resistance 200m'!D24</f>
        <v>#DIV/0!</v>
      </c>
      <c r="F20" s="27" t="e">
        <f>'Resistance 100m'!D24</f>
        <v>#DIV/0!</v>
      </c>
    </row>
    <row r="21" spans="1:10">
      <c r="A21" s="75">
        <v>12</v>
      </c>
      <c r="B21" s="27" t="e">
        <f>'Lactaat Calculation'!D26</f>
        <v>#DIV/0!</v>
      </c>
      <c r="D21" s="27" t="e">
        <f>'Resistance 200m'!D26</f>
        <v>#DIV/0!</v>
      </c>
      <c r="F21" s="27" t="e">
        <f>'Resistance 100m'!D26</f>
        <v>#DIV/0!</v>
      </c>
    </row>
    <row r="22" spans="1:10">
      <c r="A22" s="75">
        <v>14</v>
      </c>
      <c r="B22" s="27" t="e">
        <f>'Lactaat Calculation'!D28</f>
        <v>#DIV/0!</v>
      </c>
      <c r="D22" s="27" t="e">
        <f>'Resistance 200m'!D28</f>
        <v>#DIV/0!</v>
      </c>
      <c r="F22" s="27" t="e">
        <f>'Resistance 100m'!D28</f>
        <v>#DIV/0!</v>
      </c>
    </row>
    <row r="23" spans="1:10">
      <c r="A23" s="75">
        <v>16</v>
      </c>
      <c r="B23" s="27" t="e">
        <f>'Lactaat Calculation'!D30</f>
        <v>#DIV/0!</v>
      </c>
      <c r="D23" s="27" t="e">
        <f>'Resistance 200m'!D30</f>
        <v>#DIV/0!</v>
      </c>
      <c r="F23" s="27" t="e">
        <f>'Resistance 100m'!D30</f>
        <v>#DIV/0!</v>
      </c>
    </row>
    <row r="24" spans="1:10">
      <c r="A24" s="75">
        <v>18</v>
      </c>
      <c r="B24" s="27" t="e">
        <f>'Lactaat Calculation'!D32</f>
        <v>#DIV/0!</v>
      </c>
      <c r="D24" s="27" t="e">
        <f>'Resistance 200m'!D32</f>
        <v>#DIV/0!</v>
      </c>
      <c r="F24" s="27" t="e">
        <f>'Resistance 100m'!D32</f>
        <v>#DIV/0!</v>
      </c>
    </row>
    <row r="25" spans="1:10" ht="16" thickBot="1"/>
    <row r="26" spans="1:10" ht="16" thickBot="1">
      <c r="A26" s="137" t="s">
        <v>53</v>
      </c>
      <c r="B26" s="138"/>
      <c r="C26" s="81"/>
      <c r="D26" s="139" t="s">
        <v>12</v>
      </c>
      <c r="E26" s="140"/>
      <c r="F26" s="79"/>
      <c r="G26" s="79"/>
      <c r="H26" s="82"/>
      <c r="I26" s="80"/>
      <c r="J26" s="80"/>
    </row>
    <row r="27" spans="1:10">
      <c r="A27" s="83"/>
      <c r="B27" s="98"/>
      <c r="C27" s="114" t="s">
        <v>22</v>
      </c>
      <c r="D27" s="99"/>
      <c r="E27" s="103"/>
      <c r="F27" s="101"/>
      <c r="G27" s="101"/>
      <c r="H27" s="113" t="s">
        <v>23</v>
      </c>
    </row>
    <row r="28" spans="1:10" ht="16" thickBot="1">
      <c r="A28" s="115" t="s">
        <v>24</v>
      </c>
      <c r="B28" s="86"/>
      <c r="C28" s="109" t="s">
        <v>25</v>
      </c>
      <c r="D28" s="109" t="s">
        <v>26</v>
      </c>
      <c r="E28" s="110" t="s">
        <v>27</v>
      </c>
      <c r="F28" s="111" t="s">
        <v>28</v>
      </c>
      <c r="G28" s="111" t="s">
        <v>29</v>
      </c>
      <c r="H28" s="112" t="s">
        <v>30</v>
      </c>
    </row>
    <row r="29" spans="1:10">
      <c r="A29" s="116" t="s">
        <v>31</v>
      </c>
      <c r="B29" s="87" t="s">
        <v>32</v>
      </c>
      <c r="C29" s="94" t="e">
        <f>C31*0.9354</f>
        <v>#DIV/0!</v>
      </c>
      <c r="D29" s="94" t="e">
        <f>D31*0.9335</f>
        <v>#DIV/0!</v>
      </c>
      <c r="E29" s="105" t="e">
        <f>E31*0.9313</f>
        <v>#DIV/0!</v>
      </c>
      <c r="F29" s="91" t="e">
        <f>F31*0.9483</f>
        <v>#DIV/0!</v>
      </c>
      <c r="G29" s="91" t="e">
        <f>G31*0.9465</f>
        <v>#DIV/0!</v>
      </c>
      <c r="H29" s="91" t="e">
        <f>H31*0.9495</f>
        <v>#DIV/0!</v>
      </c>
    </row>
    <row r="30" spans="1:10">
      <c r="A30" s="85"/>
      <c r="B30" s="88" t="s">
        <v>33</v>
      </c>
      <c r="C30" s="95" t="e">
        <f>C31*0.9167</f>
        <v>#DIV/0!</v>
      </c>
      <c r="D30" s="95" t="e">
        <f>D31*0.9142</f>
        <v>#DIV/0!</v>
      </c>
      <c r="E30" s="106" t="e">
        <f>E31*0.9118</f>
        <v>#DIV/0!</v>
      </c>
      <c r="F30" s="92" t="e">
        <f>F31*0.9243</f>
        <v>#DIV/0!</v>
      </c>
      <c r="G30" s="92" t="e">
        <f>G31*0.9232</f>
        <v>#DIV/0!</v>
      </c>
      <c r="H30" s="92" t="e">
        <f>H31*0.9237</f>
        <v>#DIV/0!</v>
      </c>
    </row>
    <row r="31" spans="1:10">
      <c r="A31" s="85"/>
      <c r="B31" s="88" t="s">
        <v>34</v>
      </c>
      <c r="C31" s="95" t="e">
        <f>'Lactaat Calculation'!C38</f>
        <v>#DIV/0!</v>
      </c>
      <c r="D31" s="95" t="e">
        <f>'Lactaat Calculation'!D38</f>
        <v>#DIV/0!</v>
      </c>
      <c r="E31" s="106" t="e">
        <f>'Lactaat Calculation'!E38</f>
        <v>#DIV/0!</v>
      </c>
      <c r="F31" s="92" t="e">
        <f>'Lactaat Calculation'!F38</f>
        <v>#DIV/0!</v>
      </c>
      <c r="G31" s="92" t="e">
        <f>'Lactaat Calculation'!G38</f>
        <v>#DIV/0!</v>
      </c>
      <c r="H31" s="92" t="e">
        <f>'Lactaat Calculation'!H38</f>
        <v>#DIV/0!</v>
      </c>
    </row>
    <row r="32" spans="1:10">
      <c r="A32" s="115"/>
      <c r="B32" s="88"/>
      <c r="C32" s="96"/>
      <c r="D32" s="96"/>
      <c r="E32" s="107"/>
      <c r="F32" s="93"/>
      <c r="G32" s="93"/>
      <c r="H32" s="93"/>
    </row>
    <row r="33" spans="1:8">
      <c r="A33" s="115" t="s">
        <v>35</v>
      </c>
      <c r="B33" s="88" t="s">
        <v>32</v>
      </c>
      <c r="C33" s="95" t="e">
        <f>C31*1.9143</f>
        <v>#DIV/0!</v>
      </c>
      <c r="D33" s="95" t="e">
        <f>D31*1.9119</f>
        <v>#DIV/0!</v>
      </c>
      <c r="E33" s="106" t="e">
        <f>E31*1.9082</f>
        <v>#DIV/0!</v>
      </c>
      <c r="F33" s="92" t="e">
        <f>F31*1.9293</f>
        <v>#DIV/0!</v>
      </c>
      <c r="G33" s="92" t="e">
        <f>G31*1.9418</f>
        <v>#DIV/0!</v>
      </c>
      <c r="H33" s="92" t="e">
        <f>H31*1.9456</f>
        <v>#DIV/0!</v>
      </c>
    </row>
    <row r="34" spans="1:8">
      <c r="A34" s="85"/>
      <c r="B34" s="88" t="s">
        <v>33</v>
      </c>
      <c r="C34" s="95" t="e">
        <f>C31*1.8911</f>
        <v>#DIV/0!</v>
      </c>
      <c r="D34" s="95" t="e">
        <f>D31*1.8878</f>
        <v>#DIV/0!</v>
      </c>
      <c r="E34" s="106" t="e">
        <f>E31*1.8841</f>
        <v>#DIV/0!</v>
      </c>
      <c r="F34" s="92" t="e">
        <f>F31*1.9067</f>
        <v>#DIV/0!</v>
      </c>
      <c r="G34" s="92" t="e">
        <f>G31*1.8991</f>
        <v>#DIV/0!</v>
      </c>
      <c r="H34" s="92" t="e">
        <f>H31*1.9186</f>
        <v>#DIV/0!</v>
      </c>
    </row>
    <row r="35" spans="1:8">
      <c r="A35" s="85"/>
      <c r="B35" s="88"/>
      <c r="C35" s="96"/>
      <c r="D35" s="96"/>
      <c r="E35" s="107"/>
      <c r="F35" s="93"/>
      <c r="G35" s="93"/>
      <c r="H35" s="93"/>
    </row>
    <row r="36" spans="1:8">
      <c r="A36" s="115" t="s">
        <v>36</v>
      </c>
      <c r="B36" s="88" t="s">
        <v>32</v>
      </c>
      <c r="C36" s="95" t="e">
        <f>C31*3.8806</f>
        <v>#DIV/0!</v>
      </c>
      <c r="D36" s="95" t="e">
        <f>D31*3.8766</f>
        <v>#DIV/0!</v>
      </c>
      <c r="E36" s="106" t="e">
        <f>E31*3.872</f>
        <v>#DIV/0!</v>
      </c>
      <c r="F36" s="92" t="e">
        <f>F31*3.938</f>
        <v>#DIV/0!</v>
      </c>
      <c r="G36" s="92" t="e">
        <f>G31*3.961</f>
        <v>#DIV/0!</v>
      </c>
      <c r="H36" s="92" t="e">
        <f>H31*3.9862</f>
        <v>#DIV/0!</v>
      </c>
    </row>
    <row r="37" spans="1:8" ht="16" thickBot="1">
      <c r="A37" s="84"/>
      <c r="B37" s="89" t="s">
        <v>33</v>
      </c>
      <c r="C37" s="97" t="e">
        <f>C31*3.8656</f>
        <v>#DIV/0!</v>
      </c>
      <c r="D37" s="97" t="e">
        <f>D31*3.8613</f>
        <v>#DIV/0!</v>
      </c>
      <c r="E37" s="108" t="e">
        <f>E31*3.8563</f>
        <v>#DIV/0!</v>
      </c>
      <c r="F37" s="90" t="e">
        <f>F31*3.8797</f>
        <v>#DIV/0!</v>
      </c>
      <c r="G37" s="90" t="e">
        <f>G31*3.911</f>
        <v>#DIV/0!</v>
      </c>
      <c r="H37" s="90" t="e">
        <f>H31*3.9362</f>
        <v>#DIV/0!</v>
      </c>
    </row>
    <row r="38" spans="1:8" ht="16" thickBot="1"/>
    <row r="39" spans="1:8" ht="16" thickBot="1">
      <c r="A39" s="130" t="s">
        <v>53</v>
      </c>
      <c r="B39" s="131"/>
      <c r="C39" s="77"/>
      <c r="D39" s="132" t="s">
        <v>54</v>
      </c>
      <c r="E39" s="133"/>
      <c r="F39" s="117"/>
      <c r="G39" s="117"/>
      <c r="H39" s="78"/>
    </row>
    <row r="40" spans="1:8">
      <c r="A40" s="98"/>
      <c r="B40" s="98"/>
      <c r="C40" s="99" t="s">
        <v>22</v>
      </c>
      <c r="D40" s="99"/>
      <c r="E40" s="103"/>
      <c r="F40" s="101"/>
      <c r="G40" s="101"/>
      <c r="H40" s="91" t="s">
        <v>23</v>
      </c>
    </row>
    <row r="41" spans="1:8" ht="16" thickBot="1">
      <c r="A41" s="86" t="s">
        <v>24</v>
      </c>
      <c r="B41" s="86"/>
      <c r="C41" s="100" t="s">
        <v>25</v>
      </c>
      <c r="D41" s="100" t="s">
        <v>26</v>
      </c>
      <c r="E41" s="104" t="s">
        <v>27</v>
      </c>
      <c r="F41" s="102" t="s">
        <v>28</v>
      </c>
      <c r="G41" s="102" t="s">
        <v>29</v>
      </c>
      <c r="H41" s="90" t="s">
        <v>30</v>
      </c>
    </row>
    <row r="42" spans="1:8">
      <c r="A42" s="98" t="s">
        <v>31</v>
      </c>
      <c r="B42" s="98" t="s">
        <v>32</v>
      </c>
      <c r="C42" s="94" t="e">
        <f>C44*0.9354</f>
        <v>#DIV/0!</v>
      </c>
      <c r="D42" s="94" t="e">
        <f>D44*0.9335</f>
        <v>#DIV/0!</v>
      </c>
      <c r="E42" s="105" t="e">
        <f>E44*0.9313</f>
        <v>#DIV/0!</v>
      </c>
      <c r="F42" s="91" t="e">
        <f>F44*0.9483</f>
        <v>#DIV/0!</v>
      </c>
      <c r="G42" s="91" t="e">
        <f>G44*0.9465</f>
        <v>#DIV/0!</v>
      </c>
      <c r="H42" s="91" t="e">
        <f>H44*0.9495</f>
        <v>#DIV/0!</v>
      </c>
    </row>
    <row r="43" spans="1:8">
      <c r="A43" s="118"/>
      <c r="B43" s="118" t="s">
        <v>33</v>
      </c>
      <c r="C43" s="95" t="e">
        <f>C44*0.9167</f>
        <v>#DIV/0!</v>
      </c>
      <c r="D43" s="95" t="e">
        <f>D44*0.9142</f>
        <v>#DIV/0!</v>
      </c>
      <c r="E43" s="106" t="e">
        <f>E44*0.9118</f>
        <v>#DIV/0!</v>
      </c>
      <c r="F43" s="92" t="e">
        <f>F44*0.9243</f>
        <v>#DIV/0!</v>
      </c>
      <c r="G43" s="92" t="e">
        <f>G44*0.9232</f>
        <v>#DIV/0!</v>
      </c>
      <c r="H43" s="92" t="e">
        <f>H44*0.9237</f>
        <v>#DIV/0!</v>
      </c>
    </row>
    <row r="44" spans="1:8">
      <c r="A44" s="118"/>
      <c r="B44" s="118" t="s">
        <v>34</v>
      </c>
      <c r="C44" s="95" t="e">
        <f>'Resistance 200m'!C39</f>
        <v>#DIV/0!</v>
      </c>
      <c r="D44" s="95" t="e">
        <f>'Resistance 200m'!D39</f>
        <v>#DIV/0!</v>
      </c>
      <c r="E44" s="106" t="e">
        <f>'Resistance 200m'!E39</f>
        <v>#DIV/0!</v>
      </c>
      <c r="F44" s="92" t="e">
        <f>'Resistance 200m'!F39</f>
        <v>#DIV/0!</v>
      </c>
      <c r="G44" s="92" t="e">
        <f>'Resistance 200m'!G39</f>
        <v>#DIV/0!</v>
      </c>
      <c r="H44" s="92" t="e">
        <f>'Resistance 200m'!H39</f>
        <v>#DIV/0!</v>
      </c>
    </row>
    <row r="45" spans="1:8">
      <c r="A45" s="118"/>
      <c r="B45" s="118"/>
      <c r="C45" s="96"/>
      <c r="D45" s="96"/>
      <c r="E45" s="107"/>
      <c r="F45" s="93"/>
      <c r="G45" s="93"/>
      <c r="H45" s="93"/>
    </row>
    <row r="46" spans="1:8">
      <c r="A46" s="118" t="s">
        <v>35</v>
      </c>
      <c r="B46" s="118" t="s">
        <v>32</v>
      </c>
      <c r="C46" s="95" t="e">
        <f>C44*1.9143</f>
        <v>#DIV/0!</v>
      </c>
      <c r="D46" s="95" t="e">
        <f>D44*1.9119</f>
        <v>#DIV/0!</v>
      </c>
      <c r="E46" s="106" t="e">
        <f>E44*1.9082</f>
        <v>#DIV/0!</v>
      </c>
      <c r="F46" s="92" t="e">
        <f>F44*1.9293</f>
        <v>#DIV/0!</v>
      </c>
      <c r="G46" s="92" t="e">
        <f>G44*1.9418</f>
        <v>#DIV/0!</v>
      </c>
      <c r="H46" s="92" t="e">
        <f>H44*1.9456</f>
        <v>#DIV/0!</v>
      </c>
    </row>
    <row r="47" spans="1:8">
      <c r="A47" s="118"/>
      <c r="B47" s="118" t="s">
        <v>33</v>
      </c>
      <c r="C47" s="95" t="e">
        <f>C44*1.8911</f>
        <v>#DIV/0!</v>
      </c>
      <c r="D47" s="95" t="e">
        <f>D44*1.8878</f>
        <v>#DIV/0!</v>
      </c>
      <c r="E47" s="106" t="e">
        <f>E44*1.8841</f>
        <v>#DIV/0!</v>
      </c>
      <c r="F47" s="92" t="e">
        <f>F44*1.9067</f>
        <v>#DIV/0!</v>
      </c>
      <c r="G47" s="92" t="e">
        <f>G44*1.8991</f>
        <v>#DIV/0!</v>
      </c>
      <c r="H47" s="92" t="e">
        <f>H44*1.9186</f>
        <v>#DIV/0!</v>
      </c>
    </row>
    <row r="48" spans="1:8">
      <c r="A48" s="118"/>
      <c r="B48" s="118"/>
      <c r="C48" s="96"/>
      <c r="D48" s="96"/>
      <c r="E48" s="107"/>
      <c r="F48" s="93"/>
      <c r="G48" s="93"/>
      <c r="H48" s="93"/>
    </row>
    <row r="49" spans="1:8">
      <c r="A49" s="118" t="s">
        <v>36</v>
      </c>
      <c r="B49" s="118" t="s">
        <v>32</v>
      </c>
      <c r="C49" s="95" t="e">
        <f>C44*3.8806</f>
        <v>#DIV/0!</v>
      </c>
      <c r="D49" s="95" t="e">
        <f>D44*3.8766</f>
        <v>#DIV/0!</v>
      </c>
      <c r="E49" s="106" t="e">
        <f>E44*3.872</f>
        <v>#DIV/0!</v>
      </c>
      <c r="F49" s="92" t="e">
        <f>F44*3.938</f>
        <v>#DIV/0!</v>
      </c>
      <c r="G49" s="92" t="e">
        <f>G44*3.961</f>
        <v>#DIV/0!</v>
      </c>
      <c r="H49" s="92" t="e">
        <f>H44*3.9862</f>
        <v>#DIV/0!</v>
      </c>
    </row>
    <row r="50" spans="1:8" ht="16" thickBot="1">
      <c r="A50" s="86"/>
      <c r="B50" s="86" t="s">
        <v>33</v>
      </c>
      <c r="C50" s="97" t="e">
        <f>C44*3.8656</f>
        <v>#DIV/0!</v>
      </c>
      <c r="D50" s="97" t="e">
        <f>D44*3.8613</f>
        <v>#DIV/0!</v>
      </c>
      <c r="E50" s="108" t="e">
        <f>E44*3.8563</f>
        <v>#DIV/0!</v>
      </c>
      <c r="F50" s="90" t="e">
        <f>F44*3.8797</f>
        <v>#DIV/0!</v>
      </c>
      <c r="G50" s="90" t="e">
        <f>G44*3.911</f>
        <v>#DIV/0!</v>
      </c>
      <c r="H50" s="90" t="e">
        <f>H44*3.9362</f>
        <v>#DIV/0!</v>
      </c>
    </row>
    <row r="51" spans="1:8" ht="20" customHeight="1" thickBot="1">
      <c r="A51" s="130" t="s">
        <v>53</v>
      </c>
      <c r="B51" s="131"/>
      <c r="C51" s="77"/>
      <c r="D51" s="132" t="s">
        <v>11</v>
      </c>
      <c r="E51" s="133"/>
      <c r="F51" s="117"/>
      <c r="G51" s="117"/>
      <c r="H51" s="78"/>
    </row>
    <row r="52" spans="1:8" ht="16" thickTop="1">
      <c r="A52" s="8"/>
      <c r="B52" s="41"/>
      <c r="C52" s="42" t="s">
        <v>22</v>
      </c>
      <c r="D52" s="43"/>
      <c r="E52" s="43"/>
      <c r="F52" s="43"/>
      <c r="G52" s="43"/>
      <c r="H52" s="44" t="s">
        <v>23</v>
      </c>
    </row>
    <row r="53" spans="1:8" ht="16" thickBot="1">
      <c r="A53" s="19" t="s">
        <v>24</v>
      </c>
      <c r="B53" s="45"/>
      <c r="C53" s="46" t="s">
        <v>25</v>
      </c>
      <c r="D53" s="47" t="s">
        <v>26</v>
      </c>
      <c r="E53" s="47" t="s">
        <v>27</v>
      </c>
      <c r="F53" s="47" t="s">
        <v>28</v>
      </c>
      <c r="G53" s="47" t="s">
        <v>29</v>
      </c>
      <c r="H53" s="48" t="s">
        <v>30</v>
      </c>
    </row>
    <row r="54" spans="1:8" ht="16" thickTop="1">
      <c r="A54" s="11" t="s">
        <v>31</v>
      </c>
      <c r="B54" s="49" t="s">
        <v>32</v>
      </c>
      <c r="C54" s="50" t="e">
        <f>C56*0.9354</f>
        <v>#DIV/0!</v>
      </c>
      <c r="D54" s="51" t="e">
        <f>D56*0.9335</f>
        <v>#DIV/0!</v>
      </c>
      <c r="E54" s="51" t="e">
        <f>E56*0.9313</f>
        <v>#DIV/0!</v>
      </c>
      <c r="F54" s="51" t="e">
        <f>F56*0.9483</f>
        <v>#DIV/0!</v>
      </c>
      <c r="G54" s="51" t="e">
        <f>G56*0.9465</f>
        <v>#DIV/0!</v>
      </c>
      <c r="H54" s="51" t="e">
        <f>H56*0.9495</f>
        <v>#DIV/0!</v>
      </c>
    </row>
    <row r="55" spans="1:8">
      <c r="A55" s="11"/>
      <c r="B55" s="49" t="s">
        <v>33</v>
      </c>
      <c r="C55" s="50" t="e">
        <f>C56*0.9167</f>
        <v>#DIV/0!</v>
      </c>
      <c r="D55" s="51" t="e">
        <f>D56*0.9142</f>
        <v>#DIV/0!</v>
      </c>
      <c r="E55" s="51" t="e">
        <f>E56*0.9118</f>
        <v>#DIV/0!</v>
      </c>
      <c r="F55" s="51" t="e">
        <f>F56*0.9243</f>
        <v>#DIV/0!</v>
      </c>
      <c r="G55" s="51" t="e">
        <f>G56*0.9232</f>
        <v>#DIV/0!</v>
      </c>
      <c r="H55" s="51" t="e">
        <f>H56*0.9237</f>
        <v>#DIV/0!</v>
      </c>
    </row>
    <row r="56" spans="1:8">
      <c r="A56" s="11"/>
      <c r="B56" s="49" t="s">
        <v>34</v>
      </c>
      <c r="C56" s="50" t="e">
        <f>'Resistance 100m'!C39</f>
        <v>#DIV/0!</v>
      </c>
      <c r="D56" s="51" t="e">
        <f>'Resistance 100m'!D39</f>
        <v>#DIV/0!</v>
      </c>
      <c r="E56" s="51" t="e">
        <f>'Resistance 100m'!E39</f>
        <v>#DIV/0!</v>
      </c>
      <c r="F56" s="51" t="e">
        <f>'Resistance 100m'!F39</f>
        <v>#DIV/0!</v>
      </c>
      <c r="G56" s="51" t="e">
        <f>'Resistance 100m'!G39</f>
        <v>#DIV/0!</v>
      </c>
      <c r="H56" s="51" t="e">
        <f>'Resistance 100m'!H39</f>
        <v>#DIV/0!</v>
      </c>
    </row>
    <row r="57" spans="1:8">
      <c r="A57" s="11"/>
      <c r="B57" s="49"/>
      <c r="C57" s="52"/>
      <c r="D57" s="53"/>
      <c r="E57" s="53"/>
      <c r="F57" s="53"/>
      <c r="G57" s="53"/>
      <c r="H57" s="53"/>
    </row>
    <row r="58" spans="1:8">
      <c r="A58" s="11" t="s">
        <v>35</v>
      </c>
      <c r="B58" s="49" t="s">
        <v>32</v>
      </c>
      <c r="C58" s="50" t="e">
        <f>C56*1.9143</f>
        <v>#DIV/0!</v>
      </c>
      <c r="D58" s="51" t="e">
        <f>D56*1.9119</f>
        <v>#DIV/0!</v>
      </c>
      <c r="E58" s="51" t="e">
        <f>E56*1.9082</f>
        <v>#DIV/0!</v>
      </c>
      <c r="F58" s="51" t="e">
        <f>F56*1.9293</f>
        <v>#DIV/0!</v>
      </c>
      <c r="G58" s="51" t="e">
        <f>G56*1.9418</f>
        <v>#DIV/0!</v>
      </c>
      <c r="H58" s="51" t="e">
        <f>H56*1.9456</f>
        <v>#DIV/0!</v>
      </c>
    </row>
    <row r="59" spans="1:8">
      <c r="A59" s="11"/>
      <c r="B59" s="49" t="s">
        <v>33</v>
      </c>
      <c r="C59" s="50" t="e">
        <f>C56*1.8911</f>
        <v>#DIV/0!</v>
      </c>
      <c r="D59" s="51" t="e">
        <f>D56*1.8878</f>
        <v>#DIV/0!</v>
      </c>
      <c r="E59" s="51" t="e">
        <f>E56*1.8841</f>
        <v>#DIV/0!</v>
      </c>
      <c r="F59" s="51" t="e">
        <f>F56*1.9067</f>
        <v>#DIV/0!</v>
      </c>
      <c r="G59" s="51" t="e">
        <f>G56*1.8991</f>
        <v>#DIV/0!</v>
      </c>
      <c r="H59" s="51" t="e">
        <f>H56*1.9186</f>
        <v>#DIV/0!</v>
      </c>
    </row>
    <row r="60" spans="1:8">
      <c r="A60" s="11"/>
      <c r="B60" s="49"/>
      <c r="C60" s="52"/>
      <c r="D60" s="53"/>
      <c r="E60" s="53"/>
      <c r="F60" s="53"/>
      <c r="G60" s="53"/>
      <c r="H60" s="53"/>
    </row>
    <row r="61" spans="1:8">
      <c r="A61" s="11" t="s">
        <v>36</v>
      </c>
      <c r="B61" s="49" t="s">
        <v>32</v>
      </c>
      <c r="C61" s="50" t="e">
        <f>C56*3.8806</f>
        <v>#DIV/0!</v>
      </c>
      <c r="D61" s="51" t="e">
        <f>D56*3.8766</f>
        <v>#DIV/0!</v>
      </c>
      <c r="E61" s="51" t="e">
        <f>E56*3.872</f>
        <v>#DIV/0!</v>
      </c>
      <c r="F61" s="51" t="e">
        <f>F56*3.938</f>
        <v>#DIV/0!</v>
      </c>
      <c r="G61" s="51" t="e">
        <f>G56*3.961</f>
        <v>#DIV/0!</v>
      </c>
      <c r="H61" s="51" t="e">
        <f>H56*3.9862</f>
        <v>#DIV/0!</v>
      </c>
    </row>
    <row r="62" spans="1:8" ht="16" thickBot="1">
      <c r="A62" s="19"/>
      <c r="B62" s="45" t="s">
        <v>33</v>
      </c>
      <c r="C62" s="54" t="e">
        <f>C56*3.8656</f>
        <v>#DIV/0!</v>
      </c>
      <c r="D62" s="48" t="e">
        <f>D56*3.8613</f>
        <v>#DIV/0!</v>
      </c>
      <c r="E62" s="48" t="e">
        <f>E56*3.8563</f>
        <v>#DIV/0!</v>
      </c>
      <c r="F62" s="48" t="e">
        <f>F56*3.8797</f>
        <v>#DIV/0!</v>
      </c>
      <c r="G62" s="48" t="e">
        <f>G56*3.911</f>
        <v>#DIV/0!</v>
      </c>
      <c r="H62" s="48" t="e">
        <f>H56*3.9362</f>
        <v>#DIV/0!</v>
      </c>
    </row>
    <row r="63" spans="1:8" ht="16" thickTop="1"/>
  </sheetData>
  <mergeCells count="9">
    <mergeCell ref="A51:B51"/>
    <mergeCell ref="D51:E51"/>
    <mergeCell ref="F1:G1"/>
    <mergeCell ref="A39:B39"/>
    <mergeCell ref="D39:E39"/>
    <mergeCell ref="A6:B6"/>
    <mergeCell ref="A13:B13"/>
    <mergeCell ref="A26:B26"/>
    <mergeCell ref="D26:E26"/>
  </mergeCells>
  <phoneticPr fontId="10" type="noConversion"/>
  <pageMargins left="0.55555555555555558" right="0.47222222222222221" top="0.2361111111111111" bottom="0.33333333333333331" header="8.3333333333333329E-2" footer="0.2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Lactaat Calculation</vt:lpstr>
      <vt:lpstr>Resistance 200m</vt:lpstr>
      <vt:lpstr>Resistance 100m</vt:lpstr>
      <vt:lpstr>Overview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Van Deynse</dc:creator>
  <cp:lastModifiedBy>David Van Deynse</cp:lastModifiedBy>
  <cp:lastPrinted>2019-08-19T18:00:01Z</cp:lastPrinted>
  <dcterms:created xsi:type="dcterms:W3CDTF">2015-06-10T18:54:20Z</dcterms:created>
  <dcterms:modified xsi:type="dcterms:W3CDTF">2019-08-19T18:01:08Z</dcterms:modified>
</cp:coreProperties>
</file>